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C722B264-334D-4D37-BAAB-FEAE202B1A48}" xr6:coauthVersionLast="47" xr6:coauthVersionMax="47" xr10:uidLastSave="{00000000-0000-0000-0000-000000000000}"/>
  <bookViews>
    <workbookView xWindow="-120" yWindow="-120" windowWidth="29040" windowHeight="15840" xr2:uid="{0EA42FA6-21EB-4027-9514-0E2DBC3E50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521" i="1" l="1"/>
  <c r="AS521" i="1"/>
  <c r="AR521" i="1"/>
  <c r="AT520" i="1"/>
  <c r="AS520" i="1"/>
  <c r="AR520" i="1"/>
  <c r="AT519" i="1"/>
  <c r="AS519" i="1"/>
  <c r="AR519" i="1"/>
  <c r="AT518" i="1"/>
  <c r="AS518" i="1"/>
  <c r="AR518" i="1"/>
  <c r="AT517" i="1"/>
  <c r="AS517" i="1"/>
  <c r="AR517" i="1"/>
  <c r="AT516" i="1"/>
  <c r="AS516" i="1"/>
  <c r="AR516" i="1"/>
  <c r="AT515" i="1"/>
  <c r="AS515" i="1"/>
  <c r="AR515" i="1"/>
  <c r="AT514" i="1"/>
  <c r="AS514" i="1"/>
  <c r="AT513" i="1"/>
  <c r="AS513" i="1"/>
  <c r="AT512" i="1"/>
  <c r="AS512" i="1"/>
  <c r="AR512" i="1"/>
  <c r="AT511" i="1"/>
  <c r="AS511" i="1"/>
  <c r="AR511" i="1"/>
  <c r="AT510" i="1"/>
  <c r="AS510" i="1"/>
  <c r="AT509" i="1"/>
  <c r="AS509" i="1"/>
  <c r="AR509" i="1"/>
  <c r="AT508" i="1"/>
  <c r="AS508" i="1"/>
  <c r="AR508" i="1"/>
  <c r="AT507" i="1"/>
  <c r="AS507" i="1"/>
  <c r="AT506" i="1"/>
  <c r="AS506" i="1"/>
  <c r="AT505" i="1"/>
  <c r="AS505" i="1"/>
  <c r="AR505" i="1"/>
  <c r="AT504" i="1"/>
  <c r="AS504" i="1"/>
  <c r="AR504" i="1"/>
  <c r="AT503" i="1"/>
  <c r="AS503" i="1"/>
  <c r="AR503" i="1"/>
  <c r="AT502" i="1"/>
  <c r="AS502" i="1"/>
  <c r="AR502" i="1"/>
  <c r="AT501" i="1"/>
  <c r="AS501" i="1"/>
  <c r="AR501" i="1"/>
  <c r="AT500" i="1"/>
  <c r="AS500" i="1"/>
  <c r="AR500" i="1"/>
  <c r="AT499" i="1"/>
  <c r="AS499" i="1"/>
  <c r="AR499" i="1"/>
  <c r="AT498" i="1"/>
  <c r="AS498" i="1"/>
  <c r="AR498" i="1"/>
  <c r="AT497" i="1"/>
  <c r="AS497" i="1"/>
  <c r="AR497" i="1"/>
  <c r="AT496" i="1"/>
  <c r="AS496" i="1"/>
  <c r="AR496" i="1"/>
  <c r="AT495" i="1"/>
  <c r="AS495" i="1"/>
  <c r="AR495" i="1"/>
  <c r="AT494" i="1"/>
  <c r="AS494" i="1"/>
  <c r="AT493" i="1"/>
  <c r="AS493" i="1"/>
  <c r="AT492" i="1"/>
  <c r="AS492" i="1"/>
  <c r="AR492" i="1"/>
  <c r="AT491" i="1"/>
  <c r="AS491" i="1"/>
  <c r="AR491" i="1"/>
  <c r="AT490" i="1"/>
  <c r="AS490" i="1"/>
  <c r="AR490" i="1"/>
  <c r="AT489" i="1"/>
  <c r="AS489" i="1"/>
  <c r="AR489" i="1"/>
  <c r="AT488" i="1"/>
  <c r="AS488" i="1"/>
  <c r="AR488" i="1"/>
  <c r="AT487" i="1"/>
  <c r="AS487" i="1"/>
  <c r="AT486" i="1"/>
  <c r="AS486" i="1"/>
  <c r="AR486" i="1"/>
  <c r="AT485" i="1"/>
  <c r="AS485" i="1"/>
  <c r="AR485" i="1"/>
  <c r="AT484" i="1"/>
  <c r="AS484" i="1"/>
  <c r="AT483" i="1"/>
  <c r="AS483" i="1"/>
  <c r="AT482" i="1"/>
  <c r="AS482" i="1"/>
  <c r="AT481" i="1"/>
  <c r="AS481" i="1"/>
  <c r="AR481" i="1"/>
  <c r="AT480" i="1"/>
  <c r="AS480" i="1"/>
  <c r="AR480" i="1"/>
  <c r="AT479" i="1"/>
  <c r="AS479" i="1"/>
  <c r="AR479" i="1"/>
  <c r="AT478" i="1"/>
  <c r="AS478" i="1"/>
  <c r="AR478" i="1"/>
  <c r="AT477" i="1"/>
  <c r="AS477" i="1"/>
  <c r="AR477" i="1"/>
  <c r="AT476" i="1"/>
  <c r="AS476" i="1"/>
  <c r="AR476" i="1"/>
  <c r="AT475" i="1"/>
  <c r="AS475" i="1"/>
  <c r="AR475" i="1"/>
  <c r="AT474" i="1"/>
  <c r="AS474" i="1"/>
  <c r="AR474" i="1"/>
  <c r="AT473" i="1"/>
  <c r="AS473" i="1"/>
  <c r="AR473" i="1"/>
  <c r="AT472" i="1"/>
  <c r="AS472" i="1"/>
  <c r="AR472" i="1"/>
  <c r="AT471" i="1"/>
  <c r="AS471" i="1"/>
  <c r="AR471" i="1"/>
  <c r="AT470" i="1"/>
  <c r="AS470" i="1"/>
  <c r="AR470" i="1"/>
  <c r="AT469" i="1"/>
  <c r="AS469" i="1"/>
  <c r="AR469" i="1"/>
  <c r="AT468" i="1"/>
  <c r="AS468" i="1"/>
  <c r="AR468" i="1"/>
  <c r="AT467" i="1"/>
  <c r="AS467" i="1"/>
  <c r="AT466" i="1"/>
  <c r="AS466" i="1"/>
  <c r="AR466" i="1"/>
  <c r="AT465" i="1"/>
  <c r="AS465" i="1"/>
  <c r="AT464" i="1"/>
  <c r="AS464" i="1"/>
  <c r="AT463" i="1"/>
  <c r="AS463" i="1"/>
  <c r="AR463" i="1"/>
  <c r="AT462" i="1"/>
  <c r="AS462" i="1"/>
  <c r="AR462" i="1"/>
  <c r="AT461" i="1"/>
  <c r="AS461" i="1"/>
  <c r="AR461" i="1"/>
  <c r="AT460" i="1"/>
  <c r="AS460" i="1"/>
  <c r="AR460" i="1"/>
  <c r="AT459" i="1"/>
  <c r="AS459" i="1"/>
  <c r="AT458" i="1"/>
  <c r="AS458" i="1"/>
  <c r="AT457" i="1"/>
  <c r="AS457" i="1"/>
  <c r="AT456" i="1"/>
  <c r="AS456" i="1"/>
  <c r="AT455" i="1"/>
  <c r="AS455" i="1"/>
  <c r="AR455" i="1"/>
  <c r="AT454" i="1"/>
  <c r="AS454" i="1"/>
  <c r="AR454" i="1"/>
  <c r="AT453" i="1"/>
  <c r="AS453" i="1"/>
  <c r="AT452" i="1"/>
  <c r="AS452" i="1"/>
  <c r="AR452" i="1"/>
  <c r="AT451" i="1"/>
  <c r="AS451" i="1"/>
  <c r="AR451" i="1"/>
  <c r="AT450" i="1"/>
  <c r="AS450" i="1"/>
  <c r="AR450" i="1"/>
  <c r="AT449" i="1"/>
  <c r="AS449" i="1"/>
  <c r="AR449" i="1"/>
  <c r="AT448" i="1"/>
  <c r="AS448" i="1"/>
  <c r="AR448" i="1"/>
  <c r="AT447" i="1"/>
  <c r="AS447" i="1"/>
  <c r="AR447" i="1"/>
  <c r="AT446" i="1"/>
  <c r="AS446" i="1"/>
  <c r="AR446" i="1"/>
  <c r="AT445" i="1"/>
  <c r="AS445" i="1"/>
  <c r="AT444" i="1"/>
  <c r="AS444" i="1"/>
  <c r="AT443" i="1"/>
  <c r="AS443" i="1"/>
  <c r="AR443" i="1"/>
  <c r="AT442" i="1"/>
  <c r="AS442" i="1"/>
  <c r="AT441" i="1"/>
  <c r="AS441" i="1"/>
  <c r="AR441" i="1"/>
  <c r="AT440" i="1"/>
  <c r="AS440" i="1"/>
  <c r="AR440" i="1"/>
  <c r="AT439" i="1"/>
  <c r="AS439" i="1"/>
  <c r="AT438" i="1"/>
  <c r="AS438" i="1"/>
  <c r="AT437" i="1"/>
  <c r="AS437" i="1"/>
  <c r="AR437" i="1"/>
  <c r="AT436" i="1"/>
  <c r="AS436" i="1"/>
  <c r="AR436" i="1"/>
  <c r="AT435" i="1"/>
  <c r="AS435" i="1"/>
  <c r="AT434" i="1"/>
  <c r="AS434" i="1"/>
  <c r="AT433" i="1"/>
  <c r="AS433" i="1"/>
  <c r="AT432" i="1"/>
  <c r="AS432" i="1"/>
  <c r="AR432" i="1"/>
  <c r="AT431" i="1"/>
  <c r="AS431" i="1"/>
  <c r="AR431" i="1"/>
  <c r="AT430" i="1"/>
  <c r="AS430" i="1"/>
  <c r="AR430" i="1"/>
  <c r="AT429" i="1"/>
  <c r="AS429" i="1"/>
  <c r="AT428" i="1"/>
  <c r="AS428" i="1"/>
  <c r="AT427" i="1"/>
  <c r="AS427" i="1"/>
  <c r="AR427" i="1"/>
  <c r="AT426" i="1"/>
  <c r="AS426" i="1"/>
  <c r="AR426" i="1"/>
  <c r="AT425" i="1"/>
  <c r="AS425" i="1"/>
  <c r="AR425" i="1"/>
  <c r="AT424" i="1"/>
  <c r="AS424" i="1"/>
  <c r="AT423" i="1"/>
  <c r="AS423" i="1"/>
  <c r="AT422" i="1"/>
  <c r="AS422" i="1"/>
  <c r="AR422" i="1"/>
  <c r="AT421" i="1"/>
  <c r="AS421" i="1"/>
  <c r="AR421" i="1"/>
  <c r="AT420" i="1"/>
  <c r="AS420" i="1"/>
  <c r="AR420" i="1"/>
  <c r="AT419" i="1"/>
  <c r="AS419" i="1"/>
  <c r="AT418" i="1"/>
  <c r="AS418" i="1"/>
  <c r="AR418" i="1"/>
  <c r="AT417" i="1"/>
  <c r="AS417" i="1"/>
  <c r="AR417" i="1"/>
  <c r="AT416" i="1"/>
  <c r="AS416" i="1"/>
  <c r="AR416" i="1"/>
  <c r="AT415" i="1"/>
  <c r="AS415" i="1"/>
  <c r="AR415" i="1"/>
  <c r="AT414" i="1"/>
  <c r="AS414" i="1"/>
  <c r="AR414" i="1"/>
  <c r="AT413" i="1"/>
  <c r="AS413" i="1"/>
  <c r="AT412" i="1"/>
  <c r="AS412" i="1"/>
  <c r="AR412" i="1"/>
  <c r="AT411" i="1"/>
  <c r="AS411" i="1"/>
  <c r="AT410" i="1"/>
  <c r="AS410" i="1"/>
  <c r="AT409" i="1"/>
  <c r="AS409" i="1"/>
  <c r="AR409" i="1"/>
  <c r="AT408" i="1"/>
  <c r="AS408" i="1"/>
  <c r="AR408" i="1"/>
  <c r="AT407" i="1"/>
  <c r="AS407" i="1"/>
  <c r="AR407" i="1"/>
  <c r="AT406" i="1"/>
  <c r="AS406" i="1"/>
  <c r="AR406" i="1"/>
  <c r="AT405" i="1"/>
  <c r="AS405" i="1"/>
  <c r="AR405" i="1"/>
  <c r="AT404" i="1"/>
  <c r="AS404" i="1"/>
  <c r="AR404" i="1"/>
  <c r="AT403" i="1"/>
  <c r="AS403" i="1"/>
  <c r="AT402" i="1"/>
  <c r="AS402" i="1"/>
  <c r="AT401" i="1"/>
  <c r="AS401" i="1"/>
  <c r="AR401" i="1"/>
  <c r="AT400" i="1"/>
  <c r="AS400" i="1"/>
  <c r="AR400" i="1"/>
  <c r="AT399" i="1"/>
  <c r="AS399" i="1"/>
  <c r="AR399" i="1"/>
  <c r="AT398" i="1"/>
  <c r="AS398" i="1"/>
  <c r="AR398" i="1"/>
  <c r="AT397" i="1"/>
  <c r="AS397" i="1"/>
  <c r="AT396" i="1"/>
  <c r="AS396" i="1"/>
  <c r="AR396" i="1"/>
  <c r="AT395" i="1"/>
  <c r="AS395" i="1"/>
  <c r="AT394" i="1"/>
  <c r="AS394" i="1"/>
  <c r="AT393" i="1"/>
  <c r="AS393" i="1"/>
  <c r="AR393" i="1"/>
  <c r="AT392" i="1"/>
  <c r="AS392" i="1"/>
  <c r="AT391" i="1"/>
  <c r="AS391" i="1"/>
  <c r="AR391" i="1"/>
  <c r="AT390" i="1"/>
  <c r="AS390" i="1"/>
  <c r="AR390" i="1"/>
  <c r="AT389" i="1"/>
  <c r="AS389" i="1"/>
  <c r="AR389" i="1"/>
  <c r="AT388" i="1"/>
  <c r="AS388" i="1"/>
  <c r="AR388" i="1"/>
  <c r="AT387" i="1"/>
  <c r="AS387" i="1"/>
  <c r="AR387" i="1"/>
  <c r="AT386" i="1"/>
  <c r="AS386" i="1"/>
  <c r="AR386" i="1"/>
  <c r="AT385" i="1"/>
  <c r="AS385" i="1"/>
  <c r="AT384" i="1"/>
  <c r="AS384" i="1"/>
  <c r="AT383" i="1"/>
  <c r="AS383" i="1"/>
  <c r="AT382" i="1"/>
  <c r="AS382" i="1"/>
  <c r="AT381" i="1"/>
  <c r="AS381" i="1"/>
  <c r="AR381" i="1"/>
  <c r="AT380" i="1"/>
  <c r="AS380" i="1"/>
  <c r="AR380" i="1"/>
  <c r="AT379" i="1"/>
  <c r="AS379" i="1"/>
  <c r="AR379" i="1"/>
  <c r="AT378" i="1"/>
  <c r="AS378" i="1"/>
  <c r="AT377" i="1"/>
  <c r="AS377" i="1"/>
  <c r="AR377" i="1"/>
  <c r="AT376" i="1"/>
  <c r="AS376" i="1"/>
  <c r="AR376" i="1"/>
  <c r="AT375" i="1"/>
  <c r="AS375" i="1"/>
  <c r="AT374" i="1"/>
  <c r="AS374" i="1"/>
  <c r="AR374" i="1"/>
  <c r="AT373" i="1"/>
  <c r="AS373" i="1"/>
  <c r="AT372" i="1"/>
  <c r="AS372" i="1"/>
  <c r="AR372" i="1"/>
  <c r="AT371" i="1"/>
  <c r="AS371" i="1"/>
  <c r="AT370" i="1"/>
  <c r="AS370" i="1"/>
  <c r="AT369" i="1"/>
  <c r="AS369" i="1"/>
  <c r="AT368" i="1"/>
  <c r="AS368" i="1"/>
  <c r="AR368" i="1"/>
  <c r="AT367" i="1"/>
  <c r="AS367" i="1"/>
  <c r="AT366" i="1"/>
  <c r="AS366" i="1"/>
  <c r="AR366" i="1"/>
  <c r="AT365" i="1"/>
  <c r="AS365" i="1"/>
  <c r="AR365" i="1"/>
  <c r="AT364" i="1"/>
  <c r="AS364" i="1"/>
  <c r="AT363" i="1"/>
  <c r="AS363" i="1"/>
  <c r="AT362" i="1"/>
  <c r="AS362" i="1"/>
  <c r="AT361" i="1"/>
  <c r="AS361" i="1"/>
  <c r="AR361" i="1"/>
  <c r="AT360" i="1"/>
  <c r="AS360" i="1"/>
  <c r="AR360" i="1"/>
  <c r="AT359" i="1"/>
  <c r="AS359" i="1"/>
  <c r="AT358" i="1"/>
  <c r="AS358" i="1"/>
  <c r="AT357" i="1"/>
  <c r="AS357" i="1"/>
  <c r="AR357" i="1"/>
  <c r="AT356" i="1"/>
  <c r="AS356" i="1"/>
  <c r="AT355" i="1"/>
  <c r="AS355" i="1"/>
  <c r="AT354" i="1"/>
  <c r="AS354" i="1"/>
  <c r="AR354" i="1"/>
  <c r="AT353" i="1"/>
  <c r="AS353" i="1"/>
  <c r="AR353" i="1"/>
  <c r="AT352" i="1"/>
  <c r="AS352" i="1"/>
  <c r="AT351" i="1"/>
  <c r="AS351" i="1"/>
  <c r="AR351" i="1"/>
  <c r="AT350" i="1"/>
  <c r="AS350" i="1"/>
  <c r="AR350" i="1"/>
  <c r="AT349" i="1"/>
  <c r="AS349" i="1"/>
  <c r="AR349" i="1"/>
  <c r="AT348" i="1"/>
  <c r="AS348" i="1"/>
  <c r="AT347" i="1"/>
  <c r="AS347" i="1"/>
  <c r="AT346" i="1"/>
  <c r="AS346" i="1"/>
  <c r="AR346" i="1"/>
  <c r="AT345" i="1"/>
  <c r="AS345" i="1"/>
  <c r="AR345" i="1"/>
  <c r="AT344" i="1"/>
  <c r="AS344" i="1"/>
  <c r="AR344" i="1"/>
  <c r="AT343" i="1"/>
  <c r="AS343" i="1"/>
  <c r="AR343" i="1"/>
  <c r="AT342" i="1"/>
  <c r="AS342" i="1"/>
  <c r="AT341" i="1"/>
  <c r="AS341" i="1"/>
  <c r="AT340" i="1"/>
  <c r="AS340" i="1"/>
  <c r="AT339" i="1"/>
  <c r="AS339" i="1"/>
  <c r="AR339" i="1"/>
  <c r="AT338" i="1"/>
  <c r="AS338" i="1"/>
  <c r="AR338" i="1"/>
  <c r="AT337" i="1"/>
  <c r="AS337" i="1"/>
  <c r="AT336" i="1"/>
  <c r="AS336" i="1"/>
  <c r="AR336" i="1"/>
  <c r="AT335" i="1"/>
  <c r="AS335" i="1"/>
  <c r="AR335" i="1"/>
  <c r="AT334" i="1"/>
  <c r="AS334" i="1"/>
  <c r="AR334" i="1"/>
  <c r="AT333" i="1"/>
  <c r="AS333" i="1"/>
  <c r="AT332" i="1"/>
  <c r="AS332" i="1"/>
  <c r="AT331" i="1"/>
  <c r="AS331" i="1"/>
  <c r="AT330" i="1"/>
  <c r="AS330" i="1"/>
  <c r="AT329" i="1"/>
  <c r="AS329" i="1"/>
  <c r="AR329" i="1"/>
  <c r="AT328" i="1"/>
  <c r="AS328" i="1"/>
  <c r="AR328" i="1"/>
  <c r="AT327" i="1"/>
  <c r="AS327" i="1"/>
  <c r="AT326" i="1"/>
  <c r="AS326" i="1"/>
  <c r="AR326" i="1"/>
  <c r="AT325" i="1"/>
  <c r="AS325" i="1"/>
  <c r="AT324" i="1"/>
  <c r="AS324" i="1"/>
  <c r="AT323" i="1"/>
  <c r="AS323" i="1"/>
  <c r="AT322" i="1"/>
  <c r="AS322" i="1"/>
  <c r="AR322" i="1"/>
  <c r="AT321" i="1"/>
  <c r="AS321" i="1"/>
  <c r="AR321" i="1"/>
  <c r="AT320" i="1"/>
  <c r="AS320" i="1"/>
  <c r="AR320" i="1"/>
  <c r="AT319" i="1"/>
  <c r="AS319" i="1"/>
  <c r="AR319" i="1"/>
  <c r="AT318" i="1"/>
  <c r="AS318" i="1"/>
  <c r="AT317" i="1"/>
  <c r="AS317" i="1"/>
  <c r="AR317" i="1"/>
  <c r="AT316" i="1"/>
  <c r="AS316" i="1"/>
  <c r="AT315" i="1"/>
  <c r="AS315" i="1"/>
  <c r="AR315" i="1"/>
  <c r="AT314" i="1"/>
  <c r="AS314" i="1"/>
  <c r="AR314" i="1"/>
  <c r="AT313" i="1"/>
  <c r="AS313" i="1"/>
  <c r="AR313" i="1"/>
  <c r="AT312" i="1"/>
  <c r="AS312" i="1"/>
  <c r="AR312" i="1"/>
  <c r="AT311" i="1"/>
  <c r="AS311" i="1"/>
  <c r="AT310" i="1"/>
  <c r="AS310" i="1"/>
  <c r="AR310" i="1"/>
  <c r="AT309" i="1"/>
  <c r="AS309" i="1"/>
  <c r="AR309" i="1"/>
  <c r="AT308" i="1"/>
  <c r="AS308" i="1"/>
  <c r="AR308" i="1"/>
  <c r="AT307" i="1"/>
  <c r="AS307" i="1"/>
  <c r="AT306" i="1"/>
  <c r="AS306" i="1"/>
  <c r="AR306" i="1"/>
  <c r="AT305" i="1"/>
  <c r="AS305" i="1"/>
  <c r="AR305" i="1"/>
  <c r="AT304" i="1"/>
  <c r="AS304" i="1"/>
  <c r="AR304" i="1"/>
  <c r="AT303" i="1"/>
  <c r="AS303" i="1"/>
  <c r="AR303" i="1"/>
  <c r="AT302" i="1"/>
  <c r="AS302" i="1"/>
  <c r="AT301" i="1"/>
  <c r="AS301" i="1"/>
  <c r="AT300" i="1"/>
  <c r="AS300" i="1"/>
  <c r="AT299" i="1"/>
  <c r="AS299" i="1"/>
  <c r="AT298" i="1"/>
  <c r="AS298" i="1"/>
  <c r="AT297" i="1"/>
  <c r="AS297" i="1"/>
  <c r="AT296" i="1"/>
  <c r="AS296" i="1"/>
  <c r="AT295" i="1"/>
  <c r="AS295" i="1"/>
  <c r="AR295" i="1"/>
  <c r="AT294" i="1"/>
  <c r="AS294" i="1"/>
  <c r="AR294" i="1"/>
  <c r="AT293" i="1"/>
  <c r="AS293" i="1"/>
  <c r="AR293" i="1"/>
  <c r="AT292" i="1"/>
  <c r="AS292" i="1"/>
  <c r="AR292" i="1"/>
  <c r="AT291" i="1"/>
  <c r="AS291" i="1"/>
  <c r="AR291" i="1"/>
  <c r="AT290" i="1"/>
  <c r="AS290" i="1"/>
  <c r="AR290" i="1"/>
  <c r="AT289" i="1"/>
  <c r="AS289" i="1"/>
  <c r="AT288" i="1"/>
  <c r="AS288" i="1"/>
  <c r="AR288" i="1"/>
  <c r="AT287" i="1"/>
  <c r="AS287" i="1"/>
  <c r="AR287" i="1"/>
  <c r="AT286" i="1"/>
  <c r="AS286" i="1"/>
  <c r="AT285" i="1"/>
  <c r="AS285" i="1"/>
  <c r="AT284" i="1"/>
  <c r="AS284" i="1"/>
  <c r="AR284" i="1"/>
  <c r="AT283" i="1"/>
  <c r="AS283" i="1"/>
  <c r="AT282" i="1"/>
  <c r="AS282" i="1"/>
  <c r="AT281" i="1"/>
  <c r="AS281" i="1"/>
  <c r="AR281" i="1"/>
  <c r="AT280" i="1"/>
  <c r="AS280" i="1"/>
  <c r="AR280" i="1"/>
  <c r="AT279" i="1"/>
  <c r="AS279" i="1"/>
  <c r="AR279" i="1"/>
  <c r="AT278" i="1"/>
  <c r="AS278" i="1"/>
  <c r="AR278" i="1"/>
  <c r="AT277" i="1"/>
  <c r="AS277" i="1"/>
  <c r="AT276" i="1"/>
  <c r="AS276" i="1"/>
  <c r="AR276" i="1"/>
  <c r="AT275" i="1"/>
  <c r="AS275" i="1"/>
  <c r="AT274" i="1"/>
  <c r="AS274" i="1"/>
  <c r="AT273" i="1"/>
  <c r="AS273" i="1"/>
  <c r="AT272" i="1"/>
  <c r="AS272" i="1"/>
  <c r="AR272" i="1"/>
  <c r="AT271" i="1"/>
  <c r="AS271" i="1"/>
  <c r="AR271" i="1"/>
  <c r="AT270" i="1"/>
  <c r="AS270" i="1"/>
  <c r="AT269" i="1"/>
  <c r="AS269" i="1"/>
  <c r="AR269" i="1"/>
  <c r="AT268" i="1"/>
  <c r="AS268" i="1"/>
  <c r="AR268" i="1"/>
  <c r="AT267" i="1"/>
  <c r="AS267" i="1"/>
  <c r="AR267" i="1"/>
  <c r="AT266" i="1"/>
  <c r="AS266" i="1"/>
  <c r="AT265" i="1"/>
  <c r="AS265" i="1"/>
  <c r="AT264" i="1"/>
  <c r="AS264" i="1"/>
  <c r="AR264" i="1"/>
  <c r="AT263" i="1"/>
  <c r="AS263" i="1"/>
  <c r="AR263" i="1"/>
  <c r="AT262" i="1"/>
  <c r="AS262" i="1"/>
  <c r="AR262" i="1"/>
  <c r="AT261" i="1"/>
  <c r="AS261" i="1"/>
  <c r="AT260" i="1"/>
  <c r="AS260" i="1"/>
  <c r="AR260" i="1"/>
  <c r="AT259" i="1"/>
  <c r="AS259" i="1"/>
  <c r="AT258" i="1"/>
  <c r="AS258" i="1"/>
  <c r="AR258" i="1"/>
  <c r="AT257" i="1"/>
  <c r="AS257" i="1"/>
  <c r="AR257" i="1"/>
  <c r="AT256" i="1"/>
  <c r="AS256" i="1"/>
  <c r="AT255" i="1"/>
  <c r="AS255" i="1"/>
  <c r="AT254" i="1"/>
  <c r="AS254" i="1"/>
  <c r="AT253" i="1"/>
  <c r="AS253" i="1"/>
  <c r="AR253" i="1"/>
  <c r="AT252" i="1"/>
  <c r="AS252" i="1"/>
  <c r="AR252" i="1"/>
  <c r="AT251" i="1"/>
  <c r="AS251" i="1"/>
  <c r="AR251" i="1"/>
  <c r="AT250" i="1"/>
  <c r="AS250" i="1"/>
  <c r="AR250" i="1"/>
  <c r="AT249" i="1"/>
  <c r="AS249" i="1"/>
  <c r="AR249" i="1"/>
  <c r="AT248" i="1"/>
  <c r="AS248" i="1"/>
  <c r="AT247" i="1"/>
  <c r="AS247" i="1"/>
  <c r="AR247" i="1"/>
  <c r="AT246" i="1"/>
  <c r="AS246" i="1"/>
  <c r="AT245" i="1"/>
  <c r="AS245" i="1"/>
  <c r="AT244" i="1"/>
  <c r="AS244" i="1"/>
  <c r="AT243" i="1"/>
  <c r="AS243" i="1"/>
  <c r="AT242" i="1"/>
  <c r="AS242" i="1"/>
  <c r="AR242" i="1"/>
  <c r="AT241" i="1"/>
  <c r="AS241" i="1"/>
  <c r="AR241" i="1"/>
  <c r="AT240" i="1"/>
  <c r="AS240" i="1"/>
  <c r="AR240" i="1"/>
  <c r="AT239" i="1"/>
  <c r="AS239" i="1"/>
  <c r="AR239" i="1"/>
  <c r="AT238" i="1"/>
  <c r="AS238" i="1"/>
  <c r="AR238" i="1"/>
  <c r="AT237" i="1"/>
  <c r="AS237" i="1"/>
  <c r="AT236" i="1"/>
  <c r="AS236" i="1"/>
  <c r="AR236" i="1"/>
  <c r="AT235" i="1"/>
  <c r="AS235" i="1"/>
  <c r="AT234" i="1"/>
  <c r="AS234" i="1"/>
  <c r="AR234" i="1"/>
  <c r="AT233" i="1"/>
  <c r="AS233" i="1"/>
  <c r="AR233" i="1"/>
  <c r="AT232" i="1"/>
  <c r="AS232" i="1"/>
  <c r="AT231" i="1"/>
  <c r="AS231" i="1"/>
  <c r="AR231" i="1"/>
  <c r="AT230" i="1"/>
  <c r="AS230" i="1"/>
  <c r="AT229" i="1"/>
  <c r="AS229" i="1"/>
  <c r="AT228" i="1"/>
  <c r="AS228" i="1"/>
  <c r="AR228" i="1"/>
  <c r="AT227" i="1"/>
  <c r="AS227" i="1"/>
  <c r="AR227" i="1"/>
  <c r="AT226" i="1"/>
  <c r="AS226" i="1"/>
  <c r="AR226" i="1"/>
  <c r="AT225" i="1"/>
  <c r="AS225" i="1"/>
  <c r="AR225" i="1"/>
  <c r="AT224" i="1"/>
  <c r="AS224" i="1"/>
  <c r="AT223" i="1"/>
  <c r="AS223" i="1"/>
  <c r="AR223" i="1"/>
  <c r="AT222" i="1"/>
  <c r="AS222" i="1"/>
  <c r="AT221" i="1"/>
  <c r="AS221" i="1"/>
  <c r="AR221" i="1"/>
  <c r="AT220" i="1"/>
  <c r="AS220" i="1"/>
  <c r="AT219" i="1"/>
  <c r="AS219" i="1"/>
  <c r="AR219" i="1"/>
  <c r="AT218" i="1"/>
  <c r="AS218" i="1"/>
  <c r="AR218" i="1"/>
  <c r="AT217" i="1"/>
  <c r="AS217" i="1"/>
  <c r="AR217" i="1"/>
  <c r="AT216" i="1"/>
  <c r="AS216" i="1"/>
  <c r="AR216" i="1"/>
  <c r="AT215" i="1"/>
  <c r="AS215" i="1"/>
  <c r="AR215" i="1"/>
  <c r="AT214" i="1"/>
  <c r="AS214" i="1"/>
  <c r="AR214" i="1"/>
  <c r="AT213" i="1"/>
  <c r="AS213" i="1"/>
  <c r="AT212" i="1"/>
  <c r="AS212" i="1"/>
  <c r="AR212" i="1"/>
  <c r="AT211" i="1"/>
  <c r="AS211" i="1"/>
  <c r="AT210" i="1"/>
  <c r="AS210" i="1"/>
  <c r="AR210" i="1"/>
  <c r="AT209" i="1"/>
  <c r="AS209" i="1"/>
  <c r="AT208" i="1"/>
  <c r="AS208" i="1"/>
  <c r="AR208" i="1"/>
  <c r="AT207" i="1"/>
  <c r="AS207" i="1"/>
  <c r="AT206" i="1"/>
  <c r="AS206" i="1"/>
  <c r="AR206" i="1"/>
  <c r="AT205" i="1"/>
  <c r="AS205" i="1"/>
  <c r="AR205" i="1"/>
  <c r="AT204" i="1"/>
  <c r="AS204" i="1"/>
  <c r="AR204" i="1"/>
  <c r="AT203" i="1"/>
  <c r="AS203" i="1"/>
  <c r="AR203" i="1"/>
  <c r="AT202" i="1"/>
  <c r="AS202" i="1"/>
  <c r="AR202" i="1"/>
  <c r="AT201" i="1"/>
  <c r="AS201" i="1"/>
  <c r="AR201" i="1"/>
  <c r="AT200" i="1"/>
  <c r="AS200" i="1"/>
  <c r="AT199" i="1"/>
  <c r="AS199" i="1"/>
  <c r="AR199" i="1"/>
  <c r="AT198" i="1"/>
  <c r="AS198" i="1"/>
  <c r="AT197" i="1"/>
  <c r="AS197" i="1"/>
  <c r="AR197" i="1"/>
  <c r="AT196" i="1"/>
  <c r="AS196" i="1"/>
  <c r="AT195" i="1"/>
  <c r="AS195" i="1"/>
  <c r="AR195" i="1"/>
  <c r="AT194" i="1"/>
  <c r="AS194" i="1"/>
  <c r="AR194" i="1"/>
  <c r="AT193" i="1"/>
  <c r="AS193" i="1"/>
  <c r="AT192" i="1"/>
  <c r="AS192" i="1"/>
  <c r="AR192" i="1"/>
  <c r="AT191" i="1"/>
  <c r="AS191" i="1"/>
  <c r="AR191" i="1"/>
  <c r="AT190" i="1"/>
  <c r="AS190" i="1"/>
  <c r="AT189" i="1"/>
  <c r="AS189" i="1"/>
  <c r="AR189" i="1"/>
  <c r="AT188" i="1"/>
  <c r="AS188" i="1"/>
  <c r="AR188" i="1"/>
  <c r="AT187" i="1"/>
  <c r="AS187" i="1"/>
  <c r="AR187" i="1"/>
  <c r="AT186" i="1"/>
  <c r="AS186" i="1"/>
  <c r="AR186" i="1"/>
  <c r="AT185" i="1"/>
  <c r="AS185" i="1"/>
  <c r="AR185" i="1"/>
  <c r="AT184" i="1"/>
  <c r="AS184" i="1"/>
  <c r="AR184" i="1"/>
  <c r="AT183" i="1"/>
  <c r="AS183" i="1"/>
  <c r="AR183" i="1"/>
  <c r="AT182" i="1"/>
  <c r="AS182" i="1"/>
  <c r="AR182" i="1"/>
  <c r="AT181" i="1"/>
  <c r="AS181" i="1"/>
  <c r="AR181" i="1"/>
  <c r="AT180" i="1"/>
  <c r="AS180" i="1"/>
  <c r="AT179" i="1"/>
  <c r="AS179" i="1"/>
  <c r="AR179" i="1"/>
  <c r="AT178" i="1"/>
  <c r="AS178" i="1"/>
  <c r="AR178" i="1"/>
  <c r="AT177" i="1"/>
  <c r="AS177" i="1"/>
  <c r="AR177" i="1"/>
  <c r="AT176" i="1"/>
  <c r="AS176" i="1"/>
  <c r="AR176" i="1"/>
  <c r="AT175" i="1"/>
  <c r="AS175" i="1"/>
  <c r="AR175" i="1"/>
  <c r="AT174" i="1"/>
  <c r="AS174" i="1"/>
  <c r="AR174" i="1"/>
  <c r="AT173" i="1"/>
  <c r="AS173" i="1"/>
  <c r="AR173" i="1"/>
  <c r="AT172" i="1"/>
  <c r="AS172" i="1"/>
  <c r="AR172" i="1"/>
  <c r="AT171" i="1"/>
  <c r="AS171" i="1"/>
  <c r="AR171" i="1"/>
  <c r="AT170" i="1"/>
  <c r="AS170" i="1"/>
  <c r="AR170" i="1"/>
  <c r="AT169" i="1"/>
  <c r="AS169" i="1"/>
  <c r="AR169" i="1"/>
  <c r="AT168" i="1"/>
  <c r="AS168" i="1"/>
  <c r="AR168" i="1"/>
  <c r="AT167" i="1"/>
  <c r="AS167" i="1"/>
  <c r="AR167" i="1"/>
  <c r="AT166" i="1"/>
  <c r="AS166" i="1"/>
  <c r="AR166" i="1"/>
  <c r="AT165" i="1"/>
  <c r="AS165" i="1"/>
  <c r="AR165" i="1"/>
  <c r="AT164" i="1"/>
  <c r="AS164" i="1"/>
  <c r="AT163" i="1"/>
  <c r="AS163" i="1"/>
  <c r="AR163" i="1"/>
  <c r="AT162" i="1"/>
  <c r="AS162" i="1"/>
  <c r="AR162" i="1"/>
  <c r="AT161" i="1"/>
  <c r="AS161" i="1"/>
  <c r="AR161" i="1"/>
  <c r="AT160" i="1"/>
  <c r="AS160" i="1"/>
  <c r="AR160" i="1"/>
  <c r="AT159" i="1"/>
  <c r="AS159" i="1"/>
  <c r="AT158" i="1"/>
  <c r="AS158" i="1"/>
  <c r="AR158" i="1"/>
  <c r="AT157" i="1"/>
  <c r="AS157" i="1"/>
  <c r="AR157" i="1"/>
  <c r="AT156" i="1"/>
  <c r="AS156" i="1"/>
  <c r="AR156" i="1"/>
  <c r="AT155" i="1"/>
  <c r="AS155" i="1"/>
  <c r="AR155" i="1"/>
  <c r="AT154" i="1"/>
  <c r="AS154" i="1"/>
  <c r="AR154" i="1"/>
  <c r="AT153" i="1"/>
  <c r="AS153" i="1"/>
  <c r="AR153" i="1"/>
  <c r="AT152" i="1"/>
  <c r="AS152" i="1"/>
  <c r="AT151" i="1"/>
  <c r="AS151" i="1"/>
  <c r="AT150" i="1"/>
  <c r="AS150" i="1"/>
  <c r="AR150" i="1"/>
  <c r="AT149" i="1"/>
  <c r="AS149" i="1"/>
  <c r="AR149" i="1"/>
  <c r="AT148" i="1"/>
  <c r="AS148" i="1"/>
  <c r="AR148" i="1"/>
  <c r="AT147" i="1"/>
  <c r="AS147" i="1"/>
  <c r="AR147" i="1"/>
  <c r="AT146" i="1"/>
  <c r="AS146" i="1"/>
  <c r="AT145" i="1"/>
  <c r="AS145" i="1"/>
  <c r="AT144" i="1"/>
  <c r="AS144" i="1"/>
  <c r="AR144" i="1"/>
  <c r="AT143" i="1"/>
  <c r="AS143" i="1"/>
  <c r="AT142" i="1"/>
  <c r="AS142" i="1"/>
  <c r="AT141" i="1"/>
  <c r="AS141" i="1"/>
  <c r="AR141" i="1"/>
  <c r="AT140" i="1"/>
  <c r="AS140" i="1"/>
  <c r="AT139" i="1"/>
  <c r="AS139" i="1"/>
  <c r="AT138" i="1"/>
  <c r="AS138" i="1"/>
  <c r="AT137" i="1"/>
  <c r="AS137" i="1"/>
  <c r="AR137" i="1"/>
  <c r="AT136" i="1"/>
  <c r="AS136" i="1"/>
  <c r="AT135" i="1"/>
  <c r="AS135" i="1"/>
  <c r="AT134" i="1"/>
  <c r="AS134" i="1"/>
  <c r="AR134" i="1"/>
  <c r="AT133" i="1"/>
  <c r="AS133" i="1"/>
  <c r="AT132" i="1"/>
  <c r="AS132" i="1"/>
  <c r="AR132" i="1"/>
  <c r="AT131" i="1"/>
  <c r="AS131" i="1"/>
  <c r="AT130" i="1"/>
  <c r="AS130" i="1"/>
  <c r="AR130" i="1"/>
  <c r="AT129" i="1"/>
  <c r="AS129" i="1"/>
  <c r="AT128" i="1"/>
  <c r="AS128" i="1"/>
  <c r="AR128" i="1"/>
  <c r="AT127" i="1"/>
  <c r="AS127" i="1"/>
  <c r="AR127" i="1"/>
  <c r="AT126" i="1"/>
  <c r="AS126" i="1"/>
  <c r="AR126" i="1"/>
  <c r="AT125" i="1"/>
  <c r="AS125" i="1"/>
  <c r="AR125" i="1"/>
  <c r="AT124" i="1"/>
  <c r="AS124" i="1"/>
  <c r="AT123" i="1"/>
  <c r="AS123" i="1"/>
  <c r="AT122" i="1"/>
  <c r="AS122" i="1"/>
  <c r="AT121" i="1"/>
  <c r="AS121" i="1"/>
  <c r="AT120" i="1"/>
  <c r="AS120" i="1"/>
  <c r="AR120" i="1"/>
  <c r="AT119" i="1"/>
  <c r="AS119" i="1"/>
  <c r="AT118" i="1"/>
  <c r="AS118" i="1"/>
  <c r="AR118" i="1"/>
  <c r="AT117" i="1"/>
  <c r="AS117" i="1"/>
  <c r="AR117" i="1"/>
  <c r="AT116" i="1"/>
  <c r="AS116" i="1"/>
  <c r="AT115" i="1"/>
  <c r="AS115" i="1"/>
  <c r="AR115" i="1"/>
  <c r="AT114" i="1"/>
  <c r="AS114" i="1"/>
  <c r="AR114" i="1"/>
  <c r="AT113" i="1"/>
  <c r="AS113" i="1"/>
  <c r="AR113" i="1"/>
  <c r="AT112" i="1"/>
  <c r="AS112" i="1"/>
  <c r="AR112" i="1"/>
  <c r="AT111" i="1"/>
  <c r="AS111" i="1"/>
  <c r="AR111" i="1"/>
  <c r="AT110" i="1"/>
  <c r="AS110" i="1"/>
  <c r="AR110" i="1"/>
  <c r="AT109" i="1"/>
  <c r="AS109" i="1"/>
  <c r="AR109" i="1"/>
  <c r="AT108" i="1"/>
  <c r="AS108" i="1"/>
  <c r="AT107" i="1"/>
  <c r="AS107" i="1"/>
  <c r="AT106" i="1"/>
  <c r="AS106" i="1"/>
  <c r="AR106" i="1"/>
  <c r="AT105" i="1"/>
  <c r="AS105" i="1"/>
  <c r="AR105" i="1"/>
  <c r="AT104" i="1"/>
  <c r="AS104" i="1"/>
  <c r="AR104" i="1"/>
  <c r="AT103" i="1"/>
  <c r="AS103" i="1"/>
  <c r="AT102" i="1"/>
  <c r="AS102" i="1"/>
  <c r="AR102" i="1"/>
  <c r="AT101" i="1"/>
  <c r="AS101" i="1"/>
  <c r="AR101" i="1"/>
  <c r="AT100" i="1"/>
  <c r="AS100" i="1"/>
  <c r="AR100" i="1"/>
  <c r="AT99" i="1"/>
  <c r="AS99" i="1"/>
  <c r="AR99" i="1"/>
  <c r="AT98" i="1"/>
  <c r="AS98" i="1"/>
  <c r="AR98" i="1"/>
  <c r="AT97" i="1"/>
  <c r="AS97" i="1"/>
  <c r="AR97" i="1"/>
  <c r="AT96" i="1"/>
  <c r="AS96" i="1"/>
  <c r="AR96" i="1"/>
  <c r="AT95" i="1"/>
  <c r="AS95" i="1"/>
  <c r="AR95" i="1"/>
  <c r="AT94" i="1"/>
  <c r="AS94" i="1"/>
  <c r="AR94" i="1"/>
  <c r="AT93" i="1"/>
  <c r="AS93" i="1"/>
  <c r="AT92" i="1"/>
  <c r="AS92" i="1"/>
  <c r="AT91" i="1"/>
  <c r="AS91" i="1"/>
  <c r="AT90" i="1"/>
  <c r="AS90" i="1"/>
  <c r="AR90" i="1"/>
  <c r="AT89" i="1"/>
  <c r="AS89" i="1"/>
  <c r="AR89" i="1"/>
  <c r="AT88" i="1"/>
  <c r="AS88" i="1"/>
  <c r="AT87" i="1"/>
  <c r="AS87" i="1"/>
  <c r="AT86" i="1"/>
  <c r="AS86" i="1"/>
  <c r="AR86" i="1"/>
  <c r="AT85" i="1"/>
  <c r="AS85" i="1"/>
  <c r="AR85" i="1"/>
  <c r="AT84" i="1"/>
  <c r="AS84" i="1"/>
  <c r="AT83" i="1"/>
  <c r="AS83" i="1"/>
  <c r="AT82" i="1"/>
  <c r="AS82" i="1"/>
  <c r="AR82" i="1"/>
  <c r="AT81" i="1"/>
  <c r="AS81" i="1"/>
  <c r="AT80" i="1"/>
  <c r="AS80" i="1"/>
  <c r="AR80" i="1"/>
  <c r="AT79" i="1"/>
  <c r="AS79" i="1"/>
  <c r="AT78" i="1"/>
  <c r="AS78" i="1"/>
  <c r="AT77" i="1"/>
  <c r="AS77" i="1"/>
  <c r="AT76" i="1"/>
  <c r="AS76" i="1"/>
  <c r="AR76" i="1"/>
  <c r="AT75" i="1"/>
  <c r="AS75" i="1"/>
  <c r="AR75" i="1"/>
  <c r="AT74" i="1"/>
  <c r="AS74" i="1"/>
  <c r="AR74" i="1"/>
  <c r="AT73" i="1"/>
  <c r="AS73" i="1"/>
  <c r="AR73" i="1"/>
  <c r="AT72" i="1"/>
  <c r="AS72" i="1"/>
  <c r="AT71" i="1"/>
  <c r="AS71" i="1"/>
  <c r="AT70" i="1"/>
  <c r="AS70" i="1"/>
  <c r="AR70" i="1"/>
  <c r="AT69" i="1"/>
  <c r="AS69" i="1"/>
  <c r="AT68" i="1"/>
  <c r="AS68" i="1"/>
  <c r="AR68" i="1"/>
  <c r="AT67" i="1"/>
  <c r="AS67" i="1"/>
  <c r="AT66" i="1"/>
  <c r="AS66" i="1"/>
  <c r="AR66" i="1"/>
  <c r="AT65" i="1"/>
  <c r="AS65" i="1"/>
  <c r="AT64" i="1"/>
  <c r="AS64" i="1"/>
  <c r="AR64" i="1"/>
  <c r="AT63" i="1"/>
  <c r="AS63" i="1"/>
  <c r="AT62" i="1"/>
  <c r="AS62" i="1"/>
  <c r="AR62" i="1"/>
  <c r="AT61" i="1"/>
  <c r="AS61" i="1"/>
  <c r="AT60" i="1"/>
  <c r="AS60" i="1"/>
  <c r="AR60" i="1"/>
  <c r="AT59" i="1"/>
  <c r="AS59" i="1"/>
  <c r="AR59" i="1"/>
  <c r="AT58" i="1"/>
  <c r="AS58" i="1"/>
  <c r="AT57" i="1"/>
  <c r="AS57" i="1"/>
  <c r="AT56" i="1"/>
  <c r="AS56" i="1"/>
  <c r="AR56" i="1"/>
  <c r="AT55" i="1"/>
  <c r="AS55" i="1"/>
  <c r="AT54" i="1"/>
  <c r="AS54" i="1"/>
  <c r="AR54" i="1"/>
  <c r="AT53" i="1"/>
  <c r="AS53" i="1"/>
  <c r="AT52" i="1"/>
  <c r="AS52" i="1"/>
  <c r="AT51" i="1"/>
  <c r="AS51" i="1"/>
  <c r="AT50" i="1"/>
  <c r="AS50" i="1"/>
  <c r="AR50" i="1"/>
  <c r="AT49" i="1"/>
  <c r="AS49" i="1"/>
  <c r="AT48" i="1"/>
  <c r="AS48" i="1"/>
  <c r="AT47" i="1"/>
  <c r="AS47" i="1"/>
  <c r="AT46" i="1"/>
  <c r="AS46" i="1"/>
  <c r="AR46" i="1"/>
  <c r="AT45" i="1"/>
  <c r="AS45" i="1"/>
  <c r="AR45" i="1"/>
  <c r="AT44" i="1"/>
  <c r="AS44" i="1"/>
  <c r="AR44" i="1"/>
  <c r="AT43" i="1"/>
  <c r="AS43" i="1"/>
  <c r="AR43" i="1"/>
  <c r="AT42" i="1"/>
  <c r="AS42" i="1"/>
  <c r="AR42" i="1"/>
  <c r="AT41" i="1"/>
  <c r="AS41" i="1"/>
  <c r="AR41" i="1"/>
  <c r="AT40" i="1"/>
  <c r="AS40" i="1"/>
  <c r="AR40" i="1"/>
  <c r="AT39" i="1"/>
  <c r="AS39" i="1"/>
  <c r="AT38" i="1"/>
  <c r="AS38" i="1"/>
  <c r="AR38" i="1"/>
  <c r="AT37" i="1"/>
  <c r="AS37" i="1"/>
  <c r="AT36" i="1"/>
  <c r="AS36" i="1"/>
  <c r="AT35" i="1"/>
  <c r="AS35" i="1"/>
  <c r="AR35" i="1"/>
  <c r="AT34" i="1"/>
  <c r="AS34" i="1"/>
  <c r="AT33" i="1"/>
  <c r="AS33" i="1"/>
  <c r="AR33" i="1"/>
  <c r="AT32" i="1"/>
  <c r="AS32" i="1"/>
  <c r="AR32" i="1"/>
  <c r="AT31" i="1"/>
  <c r="AS31" i="1"/>
  <c r="AR31" i="1"/>
  <c r="AT30" i="1"/>
  <c r="AS30" i="1"/>
  <c r="AT29" i="1"/>
  <c r="AS29" i="1"/>
  <c r="AR29" i="1"/>
  <c r="AT28" i="1"/>
  <c r="AS28" i="1"/>
  <c r="AT27" i="1"/>
  <c r="AS27" i="1"/>
  <c r="AT26" i="1"/>
  <c r="AS26" i="1"/>
  <c r="AR26" i="1"/>
  <c r="AT25" i="1"/>
  <c r="AS25" i="1"/>
  <c r="AR25" i="1"/>
  <c r="AT24" i="1"/>
  <c r="AS24" i="1"/>
  <c r="AT23" i="1"/>
  <c r="AS23" i="1"/>
  <c r="AT22" i="1"/>
  <c r="AS22" i="1"/>
  <c r="AR22" i="1"/>
  <c r="AT21" i="1"/>
  <c r="AS21" i="1"/>
  <c r="AT20" i="1"/>
  <c r="AS20" i="1"/>
  <c r="AR20" i="1"/>
  <c r="AT19" i="1"/>
  <c r="AS19" i="1"/>
  <c r="AR19" i="1"/>
  <c r="AT18" i="1"/>
  <c r="AS18" i="1"/>
  <c r="AR18" i="1"/>
  <c r="AT17" i="1"/>
  <c r="AS17" i="1"/>
  <c r="AR17" i="1"/>
  <c r="AT16" i="1"/>
  <c r="AS16" i="1"/>
  <c r="AT15" i="1"/>
  <c r="AS15" i="1"/>
  <c r="AR15" i="1"/>
  <c r="AT14" i="1"/>
  <c r="AS14" i="1"/>
  <c r="AR14" i="1"/>
  <c r="AT13" i="1"/>
  <c r="AS13" i="1"/>
  <c r="AR13" i="1"/>
  <c r="AT12" i="1"/>
  <c r="AS12" i="1"/>
  <c r="AR12" i="1"/>
  <c r="AT11" i="1"/>
  <c r="AS11" i="1"/>
  <c r="AT10" i="1"/>
  <c r="AS10" i="1"/>
  <c r="AR10" i="1"/>
  <c r="AT9" i="1"/>
  <c r="AS9" i="1"/>
  <c r="AR9" i="1"/>
  <c r="AT8" i="1"/>
  <c r="AS8" i="1"/>
  <c r="AR8" i="1"/>
  <c r="AT7" i="1"/>
  <c r="AS7" i="1"/>
  <c r="AT6" i="1"/>
  <c r="AS6" i="1"/>
  <c r="AT5" i="1"/>
  <c r="AS5" i="1"/>
  <c r="AR5" i="1"/>
  <c r="AT4" i="1"/>
  <c r="AS4" i="1"/>
  <c r="AR4" i="1"/>
  <c r="AT3" i="1"/>
  <c r="AS3" i="1"/>
  <c r="AR3" i="1"/>
  <c r="AT2" i="1"/>
  <c r="AS2" i="1"/>
  <c r="AR2" i="1"/>
</calcChain>
</file>

<file path=xl/sharedStrings.xml><?xml version="1.0" encoding="utf-8"?>
<sst xmlns="http://schemas.openxmlformats.org/spreadsheetml/2006/main" count="15675" uniqueCount="6485">
  <si>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</si>
  <si>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</si>
  <si>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</si>
  <si>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</si>
  <si>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</si>
  <si>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</si>
  <si>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</si>
  <si>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</si>
  <si>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</si>
  <si>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</si>
  <si>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</si>
  <si>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</si>
  <si>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</si>
  <si>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</si>
  <si>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</si>
  <si>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</si>
  <si>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</si>
  <si>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</si>
  <si>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</si>
  <si>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</si>
  <si>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</si>
  <si>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</si>
  <si>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</si>
  <si>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</si>
  <si>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</si>
  <si>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 xml:space="preserve">US Holdings 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</si>
  <si>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</si>
  <si>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</si>
  <si>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</si>
  <si>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</si>
  <si>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</si>
  <si>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</si>
  <si>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</si>
  <si>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</si>
  <si>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</si>
  <si>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</si>
  <si>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</si>
  <si>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</si>
  <si>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</si>
  <si>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</si>
  <si>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</si>
  <si>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</si>
  <si>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</si>
  <si>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</si>
  <si>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</si>
  <si>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</si>
  <si>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</si>
  <si>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</si>
  <si>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</si>
  <si>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</si>
  <si>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</si>
  <si>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</si>
  <si>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</si>
  <si>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</si>
  <si>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</si>
  <si>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RJ101 .C5257 2003</t>
  </si>
  <si>
    <t>0                      RJ 0101000C  5257        2003</t>
  </si>
  <si>
    <t>Child health services research : applications, innovations, and insights / Elisa J. Sobo, Paul S. Kurtin, editors ; forewod by James M. Perrin.</t>
  </si>
  <si>
    <t>No</t>
  </si>
  <si>
    <t>1</t>
  </si>
  <si>
    <t>0</t>
  </si>
  <si>
    <t>San Francisco : Jossey-Bass, c2003.</t>
  </si>
  <si>
    <t>2003</t>
  </si>
  <si>
    <t>1st ed.</t>
  </si>
  <si>
    <t>eng</t>
  </si>
  <si>
    <t>cau</t>
  </si>
  <si>
    <t xml:space="preserve">RJ </t>
  </si>
  <si>
    <t>2004-04-19</t>
  </si>
  <si>
    <t>Yes</t>
  </si>
  <si>
    <t>840324045:eng</t>
  </si>
  <si>
    <t>49942992</t>
  </si>
  <si>
    <t>991004263209702656</t>
  </si>
  <si>
    <t>2272311310002656</t>
  </si>
  <si>
    <t>BOOK</t>
  </si>
  <si>
    <t>9780787958756</t>
  </si>
  <si>
    <t>32285004900113</t>
  </si>
  <si>
    <t>893253476</t>
  </si>
  <si>
    <t>RJ101 .M333</t>
  </si>
  <si>
    <t>0                      RJ 0101000M  333</t>
  </si>
  <si>
    <t>Health needs of children / by Roger Manela and Armand Lauffer ; with contributions by Eugene Feingold and Ruben Meyer.</t>
  </si>
  <si>
    <t>Manela, Roger.</t>
  </si>
  <si>
    <t>Beverly Hills, Calif. : Sage Publications, published in cooperation with the continuing education program in the human services of the University of Michigan School of Social Work, c1979.</t>
  </si>
  <si>
    <t>1979</t>
  </si>
  <si>
    <t>Sage human services guides ; v. 9</t>
  </si>
  <si>
    <t>1998-09-29</t>
  </si>
  <si>
    <t>1992-04-28</t>
  </si>
  <si>
    <t>14765411:eng</t>
  </si>
  <si>
    <t>4493593</t>
  </si>
  <si>
    <t>991004650129702656</t>
  </si>
  <si>
    <t>2263061250002656</t>
  </si>
  <si>
    <t>9780803912175</t>
  </si>
  <si>
    <t>32285001102515</t>
  </si>
  <si>
    <t>893618909</t>
  </si>
  <si>
    <t>RJ101 .N64</t>
  </si>
  <si>
    <t>0                      RJ 0101000N  64</t>
  </si>
  <si>
    <t>Counseling parents of the ill and the handicapped / compiled and edited by Robert L. Noland.</t>
  </si>
  <si>
    <t>Noland, Robert L., 1928- compiler.</t>
  </si>
  <si>
    <t>Springfield, Ill. : Thomas, [1971]</t>
  </si>
  <si>
    <t>1971</t>
  </si>
  <si>
    <t>ilu</t>
  </si>
  <si>
    <t>1998-02-26</t>
  </si>
  <si>
    <t>1992-05-01</t>
  </si>
  <si>
    <t>1302079:eng</t>
  </si>
  <si>
    <t>140360</t>
  </si>
  <si>
    <t>991000805049702656</t>
  </si>
  <si>
    <t>2255540800002656</t>
  </si>
  <si>
    <t>32285001091213</t>
  </si>
  <si>
    <t>893255753</t>
  </si>
  <si>
    <t>RJ101 .S67 2000</t>
  </si>
  <si>
    <t>0                      RJ 0101000S  67          2000</t>
  </si>
  <si>
    <t>Poverty and child health / Nick Spencer ; foreword by Sir Donald Acheson.</t>
  </si>
  <si>
    <t>Spencer, Nick, 1943-</t>
  </si>
  <si>
    <t>Abingdon, Oxon : Radcliffe Medical Press, c2000.</t>
  </si>
  <si>
    <t>2000</t>
  </si>
  <si>
    <t>enk</t>
  </si>
  <si>
    <t>2007-04-22</t>
  </si>
  <si>
    <t>2001-08-23</t>
  </si>
  <si>
    <t>19670554:eng</t>
  </si>
  <si>
    <t>46518298</t>
  </si>
  <si>
    <t>991003570729702656</t>
  </si>
  <si>
    <t>2262778020002656</t>
  </si>
  <si>
    <t>9781857754773</t>
  </si>
  <si>
    <t>32285004380522</t>
  </si>
  <si>
    <t>893531314</t>
  </si>
  <si>
    <t>RJ101 .W3</t>
  </si>
  <si>
    <t>0                      RJ 0101000W  3</t>
  </si>
  <si>
    <t>Mother-infant interaction / edited by C. Etta Walters.</t>
  </si>
  <si>
    <t>Walters, C. Etta, editor.</t>
  </si>
  <si>
    <t>New York : Human Sciences Press, c1976.</t>
  </si>
  <si>
    <t>1976</t>
  </si>
  <si>
    <t xml:space="preserve">xx </t>
  </si>
  <si>
    <t>Child development and child-rearing series.</t>
  </si>
  <si>
    <t>1995-09-15</t>
  </si>
  <si>
    <t>1992-11-10</t>
  </si>
  <si>
    <t>375402431:eng</t>
  </si>
  <si>
    <t>1929317</t>
  </si>
  <si>
    <t>991003940589702656</t>
  </si>
  <si>
    <t>2256650180002656</t>
  </si>
  <si>
    <t>9780877052401</t>
  </si>
  <si>
    <t>32285001383867</t>
  </si>
  <si>
    <t>893875490</t>
  </si>
  <si>
    <t>RJ102 .G44 1997</t>
  </si>
  <si>
    <t>0                      RJ 0102000G  44          1997</t>
  </si>
  <si>
    <t>State options for expanding children's health insurance : a guide for legislators / by Shelley Gehshan.</t>
  </si>
  <si>
    <t>Gehshan, Shelly.</t>
  </si>
  <si>
    <t>Denver, Colo. : National Conference of State Legislatures, [1997]</t>
  </si>
  <si>
    <t>1997</t>
  </si>
  <si>
    <t>dcu</t>
  </si>
  <si>
    <t>2008-01-27</t>
  </si>
  <si>
    <t>1999-01-11</t>
  </si>
  <si>
    <t>643789:eng</t>
  </si>
  <si>
    <t>38121151</t>
  </si>
  <si>
    <t>991002893439702656</t>
  </si>
  <si>
    <t>2264856490002656</t>
  </si>
  <si>
    <t>32285003511457</t>
  </si>
  <si>
    <t>893780361</t>
  </si>
  <si>
    <t>RJ102 .H46 1999</t>
  </si>
  <si>
    <t>0                      RJ 0102000H  46          1999</t>
  </si>
  <si>
    <t>Implementing the State Children's Health Insurance Program : will service delivery needs be adequately met? / by Tim M. Henderson, Dan Steinberg.</t>
  </si>
  <si>
    <t>Henderson, Tim M.</t>
  </si>
  <si>
    <t>Denver, CO : National Conference of State Legislatures, c1999.</t>
  </si>
  <si>
    <t>1999</t>
  </si>
  <si>
    <t>cou</t>
  </si>
  <si>
    <t>2000-11-14</t>
  </si>
  <si>
    <t>909338616:eng</t>
  </si>
  <si>
    <t>43440771</t>
  </si>
  <si>
    <t>991003243609702656</t>
  </si>
  <si>
    <t>2267342320002656</t>
  </si>
  <si>
    <t>9781580240345</t>
  </si>
  <si>
    <t>32285004266093</t>
  </si>
  <si>
    <t>893317790</t>
  </si>
  <si>
    <t>RJ102 .K46 1993</t>
  </si>
  <si>
    <t>0                      RJ 0102000K  46          1993</t>
  </si>
  <si>
    <t>Children's health in America : a history / Charles R. King.</t>
  </si>
  <si>
    <t>King, Charles R. (Charles Richard), 1947-</t>
  </si>
  <si>
    <t>New York : Twayne Publishers ; Toronto : Maxwell Macmillan Canada ; New York : Maxwell Macmillan International, c1993.</t>
  </si>
  <si>
    <t>1993</t>
  </si>
  <si>
    <t>nyu</t>
  </si>
  <si>
    <t>Twayne's history of American childhood series</t>
  </si>
  <si>
    <t>1995-03-01</t>
  </si>
  <si>
    <t>352487:eng</t>
  </si>
  <si>
    <t>27435126</t>
  </si>
  <si>
    <t>991002142469702656</t>
  </si>
  <si>
    <t>2255003120002656</t>
  </si>
  <si>
    <t>9780805741018</t>
  </si>
  <si>
    <t>32285002001096</t>
  </si>
  <si>
    <t>893621956</t>
  </si>
  <si>
    <t>RJ102 .M26 1997</t>
  </si>
  <si>
    <t>0                      RJ 0102000M  26          1997</t>
  </si>
  <si>
    <t>Maternal and child health : programs, problems, and policy in public health / edited by Jonathan B. Kotch.</t>
  </si>
  <si>
    <t>Gaithersburg, Md. : Aspen Publishers, 1997.</t>
  </si>
  <si>
    <t>mdu</t>
  </si>
  <si>
    <t>2002-04-22</t>
  </si>
  <si>
    <t>2002-04-09</t>
  </si>
  <si>
    <t>837034879:eng</t>
  </si>
  <si>
    <t>35878488</t>
  </si>
  <si>
    <t>991003726379702656</t>
  </si>
  <si>
    <t>2266676860002656</t>
  </si>
  <si>
    <t>9780834207714</t>
  </si>
  <si>
    <t>32285004477740</t>
  </si>
  <si>
    <t>893525142</t>
  </si>
  <si>
    <t>RJ102 .T74 1999</t>
  </si>
  <si>
    <t>0                      RJ 0102000T  74          1999</t>
  </si>
  <si>
    <t>If you build it, will they come? : case studies on CHIP implementation / prepared by Trish Riley, Cynthia Pernice.</t>
  </si>
  <si>
    <t>Riley, Trish.</t>
  </si>
  <si>
    <t>Portland, ME : National Academy for State Health Policy, c1999.</t>
  </si>
  <si>
    <t>meu</t>
  </si>
  <si>
    <t>2001-01-16</t>
  </si>
  <si>
    <t>44321341:eng</t>
  </si>
  <si>
    <t>42442960</t>
  </si>
  <si>
    <t>991003301739702656</t>
  </si>
  <si>
    <t>2264328680002656</t>
  </si>
  <si>
    <t>32285004284302</t>
  </si>
  <si>
    <t>893721884</t>
  </si>
  <si>
    <t>RJ102 .W53 1991</t>
  </si>
  <si>
    <t>0                      RJ 0102000W  53          1991</t>
  </si>
  <si>
    <t>Improving access to health services for children and pregnant women / Joshua M. Wiener, Jeannie Engel.</t>
  </si>
  <si>
    <t>Wiener, Joshua M.</t>
  </si>
  <si>
    <t>Washington, D.C. : Brookings Institution, c1991.</t>
  </si>
  <si>
    <t>1991</t>
  </si>
  <si>
    <t>Brookings dialogues on public policy</t>
  </si>
  <si>
    <t>1998-02-09</t>
  </si>
  <si>
    <t>1991-12-30</t>
  </si>
  <si>
    <t>27177666:eng</t>
  </si>
  <si>
    <t>24878348</t>
  </si>
  <si>
    <t>991001964039702656</t>
  </si>
  <si>
    <t>2266871760002656</t>
  </si>
  <si>
    <t>9780815793755</t>
  </si>
  <si>
    <t>32285000859925</t>
  </si>
  <si>
    <t>893523029</t>
  </si>
  <si>
    <t>RJ111 .A33</t>
  </si>
  <si>
    <t>0                      RJ 0111000A  33</t>
  </si>
  <si>
    <t>Advocacy for child mental health / edited by Irving N. Berlin.</t>
  </si>
  <si>
    <t>New York : Brunner/Mazel, [1975]</t>
  </si>
  <si>
    <t>1975</t>
  </si>
  <si>
    <t>1998-09-25</t>
  </si>
  <si>
    <t>1997-08-12</t>
  </si>
  <si>
    <t>2194407:eng</t>
  </si>
  <si>
    <t>1267677</t>
  </si>
  <si>
    <t>991003660169702656</t>
  </si>
  <si>
    <t>2258358230002656</t>
  </si>
  <si>
    <t>9780876300961</t>
  </si>
  <si>
    <t>32285003093241</t>
  </si>
  <si>
    <t>893711624</t>
  </si>
  <si>
    <t>RJ111 .B72</t>
  </si>
  <si>
    <t>0                      RJ 0111000B  72</t>
  </si>
  <si>
    <t>Help for your child : a parent's guide to mental health services / Sharon S. Brehm.</t>
  </si>
  <si>
    <t>Brehm, Sharon S.</t>
  </si>
  <si>
    <t>Englewood Cliffs, N.J. : Prentice-Hall, c1978.</t>
  </si>
  <si>
    <t>1978</t>
  </si>
  <si>
    <t>nju</t>
  </si>
  <si>
    <t>A Spectrum book</t>
  </si>
  <si>
    <t>1993-03-25</t>
  </si>
  <si>
    <t>424285224:eng</t>
  </si>
  <si>
    <t>3609646</t>
  </si>
  <si>
    <t>991004476879702656</t>
  </si>
  <si>
    <t>2271771170002656</t>
  </si>
  <si>
    <t>9780133863673</t>
  </si>
  <si>
    <t>32285001609709</t>
  </si>
  <si>
    <t>893782282</t>
  </si>
  <si>
    <t>RJ111 .C52</t>
  </si>
  <si>
    <t>0                      RJ 0111000C  52</t>
  </si>
  <si>
    <t>Children's rights and the mental health professions / edited by Gerald P. Koocher.</t>
  </si>
  <si>
    <t>New York : Wiley, c1976.</t>
  </si>
  <si>
    <t>Wiley series on personality processes</t>
  </si>
  <si>
    <t>195491153:eng</t>
  </si>
  <si>
    <t>2487910</t>
  </si>
  <si>
    <t>991004136459702656</t>
  </si>
  <si>
    <t>2260544700002656</t>
  </si>
  <si>
    <t>9780471017363</t>
  </si>
  <si>
    <t>32285003093266</t>
  </si>
  <si>
    <t>893429701</t>
  </si>
  <si>
    <t>RJ131 .A496 2003</t>
  </si>
  <si>
    <t>0                      RJ 0131000A  496         2003</t>
  </si>
  <si>
    <t>Developmental profiles : pre-birth through twelve / K. Eileen Allen, Lynn R. Marotz.</t>
  </si>
  <si>
    <t>Allen, K. Eileen, 1918-2015.</t>
  </si>
  <si>
    <t>Clifton Park, NY : Thomson/Delmar Learning, c2003.</t>
  </si>
  <si>
    <t>4th ed.</t>
  </si>
  <si>
    <t>2010-01-11</t>
  </si>
  <si>
    <t>793224591:eng</t>
  </si>
  <si>
    <t>48951417</t>
  </si>
  <si>
    <t>991005349059702656</t>
  </si>
  <si>
    <t>2268930670002656</t>
  </si>
  <si>
    <t>9780766837652</t>
  </si>
  <si>
    <t>32285005556120</t>
  </si>
  <si>
    <t>893320476</t>
  </si>
  <si>
    <t>RJ131 .B36 1981</t>
  </si>
  <si>
    <t>0                      RJ 0131000B  36          1981</t>
  </si>
  <si>
    <t>The developing child / Helen Bee ; [illustrators, John Foster and Cyndie Clark-Huegel].</t>
  </si>
  <si>
    <t>Bee, Helen L., 1939-</t>
  </si>
  <si>
    <t>New York : Harper &amp; Row, c1981.</t>
  </si>
  <si>
    <t>1981</t>
  </si>
  <si>
    <t>3d ed.</t>
  </si>
  <si>
    <t>1995-02-28</t>
  </si>
  <si>
    <t>665916:eng</t>
  </si>
  <si>
    <t>6603131</t>
  </si>
  <si>
    <t>991005011669702656</t>
  </si>
  <si>
    <t>2254783130002656</t>
  </si>
  <si>
    <t>9780060405793</t>
  </si>
  <si>
    <t>32285001609733</t>
  </si>
  <si>
    <t>893430713</t>
  </si>
  <si>
    <t>RJ131 .B69</t>
  </si>
  <si>
    <t>0                      RJ 0131000B  69</t>
  </si>
  <si>
    <t>Growing with children: the early childhood years [compiled by] Joseph and Laurie Braga.</t>
  </si>
  <si>
    <t>Braga, Joseph, compiler.</t>
  </si>
  <si>
    <t>Englewood Cliffs, N.J., Prentice-Hall [1974]</t>
  </si>
  <si>
    <t>1974</t>
  </si>
  <si>
    <t>2001-01-26</t>
  </si>
  <si>
    <t>1885415:eng</t>
  </si>
  <si>
    <t>897940</t>
  </si>
  <si>
    <t>991003362059702656</t>
  </si>
  <si>
    <t>2257323130002656</t>
  </si>
  <si>
    <t>9780133662603</t>
  </si>
  <si>
    <t>32285003093324</t>
  </si>
  <si>
    <t>893246289</t>
  </si>
  <si>
    <t>RJ131 .B74</t>
  </si>
  <si>
    <t>0                      RJ 0131000B  74</t>
  </si>
  <si>
    <t>The growing brain : childhood's crucial years / [by] John Brierley ; foreword by Wilder Penfield.</t>
  </si>
  <si>
    <t>Brierley, John, 1927-</t>
  </si>
  <si>
    <t>Windsor : NFER, 1976.</t>
  </si>
  <si>
    <t>1994-10-13</t>
  </si>
  <si>
    <t>1992-03-12</t>
  </si>
  <si>
    <t>5905581:eng</t>
  </si>
  <si>
    <t>2645316</t>
  </si>
  <si>
    <t>991004197359702656</t>
  </si>
  <si>
    <t>2256734980002656</t>
  </si>
  <si>
    <t>9780856330995</t>
  </si>
  <si>
    <t>32285000998186</t>
  </si>
  <si>
    <t>893718611</t>
  </si>
  <si>
    <t>RJ131 .G46 1975</t>
  </si>
  <si>
    <t>0                      RJ 0131000G  46          1975</t>
  </si>
  <si>
    <t>Gesell and Amatruda's Developmental diagnosis : the evaluation and management of normal and abnormal neuropsychologic development in infancy and early childhood / editors: Hilda Knobloch [and] Benjamin Pasamanick.</t>
  </si>
  <si>
    <t>Gesell, Arnold, 1880-1961.</t>
  </si>
  <si>
    <t>Hagerstown, Md. : Medical Dept., Harper &amp; Row, [1975, c1974]</t>
  </si>
  <si>
    <t>3d ed., rev. and enl.</t>
  </si>
  <si>
    <t>1999-11-13</t>
  </si>
  <si>
    <t>2000-04-17</t>
  </si>
  <si>
    <t>1992-04-23</t>
  </si>
  <si>
    <t>3856507841:eng</t>
  </si>
  <si>
    <t>915846</t>
  </si>
  <si>
    <t>991001772339702656</t>
  </si>
  <si>
    <t>2264793520002656</t>
  </si>
  <si>
    <t>9780061414381</t>
  </si>
  <si>
    <t>32285001085082</t>
  </si>
  <si>
    <t>893439434</t>
  </si>
  <si>
    <t>RJ131 .G73</t>
  </si>
  <si>
    <t>0                      RJ 0131000G  73</t>
  </si>
  <si>
    <t>The nature and nurture of behavior, developmental psychobiology : readings from Scientific American / with introductions by William T. Greenough.</t>
  </si>
  <si>
    <t>Greenough, William T. compiler.</t>
  </si>
  <si>
    <t>San Francisco : W. H. Freeman, [1973]</t>
  </si>
  <si>
    <t>1973</t>
  </si>
  <si>
    <t>1996-10-12</t>
  </si>
  <si>
    <t>1992-12-18</t>
  </si>
  <si>
    <t>480337190:eng</t>
  </si>
  <si>
    <t>514580</t>
  </si>
  <si>
    <t>991002896679702656</t>
  </si>
  <si>
    <t>2261912460002656</t>
  </si>
  <si>
    <t>9780716708681</t>
  </si>
  <si>
    <t>32285001444586</t>
  </si>
  <si>
    <t>893434420</t>
  </si>
  <si>
    <t>RJ131 .I75 1970</t>
  </si>
  <si>
    <t>0                      RJ 0131000I  75          1970</t>
  </si>
  <si>
    <t>The development of the infant and young child : normal and abnormal / by R. S. Illingworth.</t>
  </si>
  <si>
    <t>Illingworth, Ronald S. (Ronald Stanley), 1909-1990.</t>
  </si>
  <si>
    <t>Baltimore : Williams and Wilkins, 1970.</t>
  </si>
  <si>
    <t>1970</t>
  </si>
  <si>
    <t>1171991:eng</t>
  </si>
  <si>
    <t>101584</t>
  </si>
  <si>
    <t>991000615429702656</t>
  </si>
  <si>
    <t>2261302140002656</t>
  </si>
  <si>
    <t>9780443006777</t>
  </si>
  <si>
    <t>32285001085066</t>
  </si>
  <si>
    <t>893802933</t>
  </si>
  <si>
    <t>RJ131 .K37 1984</t>
  </si>
  <si>
    <t>0                      RJ 0131000K  37          1984</t>
  </si>
  <si>
    <t>Growing and becoming : development from conception through adolescence / Marylin O. Karmel, Louis J. Karmel.</t>
  </si>
  <si>
    <t>Karmel, Marylin O.</t>
  </si>
  <si>
    <t>New York : Macmillan ; London : Collier Macmillan, c1984.</t>
  </si>
  <si>
    <t>1984</t>
  </si>
  <si>
    <t>1993-02-01</t>
  </si>
  <si>
    <t>1992-02-25</t>
  </si>
  <si>
    <t>3980297682:eng</t>
  </si>
  <si>
    <t>9394654</t>
  </si>
  <si>
    <t>991000188069702656</t>
  </si>
  <si>
    <t>2262905980002656</t>
  </si>
  <si>
    <t>9780023619700</t>
  </si>
  <si>
    <t>32285000982818</t>
  </si>
  <si>
    <t>893902926</t>
  </si>
  <si>
    <t>RJ131 .L419</t>
  </si>
  <si>
    <t>0                      RJ 0131000L  419</t>
  </si>
  <si>
    <t>Childhood : the study of development / Robert Leve.</t>
  </si>
  <si>
    <t>Leve, Robert.</t>
  </si>
  <si>
    <t>New York : Random House, c1980.</t>
  </si>
  <si>
    <t>1980</t>
  </si>
  <si>
    <t>2003-12-09</t>
  </si>
  <si>
    <t>1780175694:eng</t>
  </si>
  <si>
    <t>5798623</t>
  </si>
  <si>
    <t>991004877179702656</t>
  </si>
  <si>
    <t>2267547190002656</t>
  </si>
  <si>
    <t>9780394324111</t>
  </si>
  <si>
    <t>32285001609758</t>
  </si>
  <si>
    <t>893889394</t>
  </si>
  <si>
    <t>RJ131 .S56 1977</t>
  </si>
  <si>
    <t>0                      RJ 0131000S  56          1977</t>
  </si>
  <si>
    <t>Children : development and relationships / Mollie S. Smart and Russell C. Smart.</t>
  </si>
  <si>
    <t>Smart, Mollie Stevens.</t>
  </si>
  <si>
    <t>New York : Macmillan, c1977.</t>
  </si>
  <si>
    <t>1977</t>
  </si>
  <si>
    <t>1998-01-21</t>
  </si>
  <si>
    <t>1992-11-05</t>
  </si>
  <si>
    <t>1415450:eng</t>
  </si>
  <si>
    <t>2089607</t>
  </si>
  <si>
    <t>991004009159702656</t>
  </si>
  <si>
    <t>2263366850002656</t>
  </si>
  <si>
    <t>9780024119506</t>
  </si>
  <si>
    <t>32285001382505</t>
  </si>
  <si>
    <t>893410997</t>
  </si>
  <si>
    <t>RJ131 .T29</t>
  </si>
  <si>
    <t>0                      RJ 0131000T  29</t>
  </si>
  <si>
    <t>Foetus into man : physical growth from conception to maturity / J. M. Tanner.</t>
  </si>
  <si>
    <t>Tanner, J. M. (James Mourilyan)</t>
  </si>
  <si>
    <t>Cambridge, Mass. : Harvard University Press, 1978.</t>
  </si>
  <si>
    <t>mau</t>
  </si>
  <si>
    <t>1994-09-19</t>
  </si>
  <si>
    <t>1991-11-21</t>
  </si>
  <si>
    <t>9433604:eng</t>
  </si>
  <si>
    <t>3310884</t>
  </si>
  <si>
    <t>991005265739702656</t>
  </si>
  <si>
    <t>2271747970002656</t>
  </si>
  <si>
    <t>9780674307032</t>
  </si>
  <si>
    <t>32285000843424</t>
  </si>
  <si>
    <t>893695037</t>
  </si>
  <si>
    <t>RJ131 .W37</t>
  </si>
  <si>
    <t>0                      RJ 0131000W  37</t>
  </si>
  <si>
    <t>Cross-cultural child development : a view from the planet Earth / Emmy Elisabeth Werner ; [manuscript editor, Elaine Linden ; ill., Lori Gilbo].</t>
  </si>
  <si>
    <t>Werner, Emmy E.</t>
  </si>
  <si>
    <t>Monterey, Calif. : Brooks/Cole Pub. Co., c1979.</t>
  </si>
  <si>
    <t>1997-11-08</t>
  </si>
  <si>
    <t>199035995:eng</t>
  </si>
  <si>
    <t>5750447</t>
  </si>
  <si>
    <t>991004869379702656</t>
  </si>
  <si>
    <t>2270822880002656</t>
  </si>
  <si>
    <t>9780818503320</t>
  </si>
  <si>
    <t>32285001609790</t>
  </si>
  <si>
    <t>893700770</t>
  </si>
  <si>
    <t>RJ133 .E26 1987</t>
  </si>
  <si>
    <t>0                      RJ 0133000E  26          1987</t>
  </si>
  <si>
    <t>Motor development / Helen M. Eckert.</t>
  </si>
  <si>
    <t>Eckert, Helen M.</t>
  </si>
  <si>
    <t>Indianapolis, Ind. : Benchmark Press, c1987.</t>
  </si>
  <si>
    <t>1987</t>
  </si>
  <si>
    <t>3rd ed.</t>
  </si>
  <si>
    <t>inu</t>
  </si>
  <si>
    <t>1993-02-24</t>
  </si>
  <si>
    <t>431049:eng</t>
  </si>
  <si>
    <t>16959643</t>
  </si>
  <si>
    <t>991001171029702656</t>
  </si>
  <si>
    <t>2255100350002656</t>
  </si>
  <si>
    <t>9780936157146</t>
  </si>
  <si>
    <t>32285001528479</t>
  </si>
  <si>
    <t>893432646</t>
  </si>
  <si>
    <t>RJ133 .E94 1997</t>
  </si>
  <si>
    <t>0                      RJ 0133000E  94          1997</t>
  </si>
  <si>
    <t>Exercise and fitness-- benefits and risks : children &amp; exercise XVIII / edited by Karsten Froberg ... [et al.].</t>
  </si>
  <si>
    <t>Odense : Odense University Press, 1997.</t>
  </si>
  <si>
    <t xml:space="preserve">dk </t>
  </si>
  <si>
    <t>2009-02-06</t>
  </si>
  <si>
    <t>2001-10-24</t>
  </si>
  <si>
    <t>1044586297:eng</t>
  </si>
  <si>
    <t>41612555</t>
  </si>
  <si>
    <t>991003625219702656</t>
  </si>
  <si>
    <t>2263808440002656</t>
  </si>
  <si>
    <t>9788778383228</t>
  </si>
  <si>
    <t>32285004399704</t>
  </si>
  <si>
    <t>893512156</t>
  </si>
  <si>
    <t>RJ133 .G34 1982</t>
  </si>
  <si>
    <t>0                      RJ 0133000G  34          1982</t>
  </si>
  <si>
    <t>Understanding motor development in children / David L. Gallahue.</t>
  </si>
  <si>
    <t>Gallahue, David L.</t>
  </si>
  <si>
    <t>New York : Wiley, c1982.</t>
  </si>
  <si>
    <t>1982</t>
  </si>
  <si>
    <t>1996-02-28</t>
  </si>
  <si>
    <t>3901109646:eng</t>
  </si>
  <si>
    <t>7947108</t>
  </si>
  <si>
    <t>991005182399702656</t>
  </si>
  <si>
    <t>2270004800002656</t>
  </si>
  <si>
    <t>9780471087793</t>
  </si>
  <si>
    <t>32285001528487</t>
  </si>
  <si>
    <t>893795754</t>
  </si>
  <si>
    <t>RJ133 .I57 1983</t>
  </si>
  <si>
    <t>0                      RJ 0133000I  57          1983</t>
  </si>
  <si>
    <t>Children and exercise XI / edited by Rob A. Binkhorst, Han C.G. Kemper, and Wim H.M. Saris.</t>
  </si>
  <si>
    <t>International Congress on Pediatric Work Physiology (11th : 1983 : Papendal, Netherlands)</t>
  </si>
  <si>
    <t>Champaign, Ill. : Human Kinetics Publishers, Inc., 1985.</t>
  </si>
  <si>
    <t>1985</t>
  </si>
  <si>
    <t>International series on sport sciences ; v. 15</t>
  </si>
  <si>
    <t>1999-11-30</t>
  </si>
  <si>
    <t>1992-05-04</t>
  </si>
  <si>
    <t>890078166:eng</t>
  </si>
  <si>
    <t>12250422</t>
  </si>
  <si>
    <t>991000661729702656</t>
  </si>
  <si>
    <t>2271030220002656</t>
  </si>
  <si>
    <t>9780873220194</t>
  </si>
  <si>
    <t>32285001092062</t>
  </si>
  <si>
    <t>893784423</t>
  </si>
  <si>
    <t>RJ133 .M43 1996</t>
  </si>
  <si>
    <t>0                      RJ 0133000M  43          1996</t>
  </si>
  <si>
    <t>Measurement in pediatric exercise science / David Docherty, [editor].</t>
  </si>
  <si>
    <t>Champaign, IL : Human Kinetics, c1996.</t>
  </si>
  <si>
    <t>1996</t>
  </si>
  <si>
    <t>1998-03-25</t>
  </si>
  <si>
    <t>367135037:eng</t>
  </si>
  <si>
    <t>32893043</t>
  </si>
  <si>
    <t>991002530809702656</t>
  </si>
  <si>
    <t>2257536480002656</t>
  </si>
  <si>
    <t>9780873229609</t>
  </si>
  <si>
    <t>32285003380713</t>
  </si>
  <si>
    <t>893603707</t>
  </si>
  <si>
    <t>RJ133 .P415 2007</t>
  </si>
  <si>
    <t>0                      RJ 0133000P  415         2007</t>
  </si>
  <si>
    <t>Pediatric fitness : secular trends and geographic variability / volume editors, Grant R. Tomkinson, Timothy S. Olds.</t>
  </si>
  <si>
    <t>Basel ; New York : Karger, c2007.</t>
  </si>
  <si>
    <t>2007</t>
  </si>
  <si>
    <t xml:space="preserve">sz </t>
  </si>
  <si>
    <t>Medicine and sport science, 0254-5020 ; v. 50</t>
  </si>
  <si>
    <t>2007-12-18</t>
  </si>
  <si>
    <t>801559618:eng</t>
  </si>
  <si>
    <t>77011606</t>
  </si>
  <si>
    <t>991005146219702656</t>
  </si>
  <si>
    <t>2262595580002656</t>
  </si>
  <si>
    <t>9783805581776</t>
  </si>
  <si>
    <t>32285005373724</t>
  </si>
  <si>
    <t>893526986</t>
  </si>
  <si>
    <t>RJ133 .R68 1990</t>
  </si>
  <si>
    <t>0                      RJ 0133000R  68          1990</t>
  </si>
  <si>
    <t>Exercise and children's health / Thomas W. Rowland.</t>
  </si>
  <si>
    <t>Rowland, Thomas W.</t>
  </si>
  <si>
    <t>Champaign, Ill. : Human Kinetics Books, c1990.</t>
  </si>
  <si>
    <t>1990</t>
  </si>
  <si>
    <t>1990-09-07</t>
  </si>
  <si>
    <t>22031478:eng</t>
  </si>
  <si>
    <t>20852988</t>
  </si>
  <si>
    <t>991001626469702656</t>
  </si>
  <si>
    <t>2264867110002656</t>
  </si>
  <si>
    <t>9780873222822</t>
  </si>
  <si>
    <t>32285000276187</t>
  </si>
  <si>
    <t>893772710</t>
  </si>
  <si>
    <t>RJ134 .C85 1989, v...</t>
  </si>
  <si>
    <t>0                      RJ 0134000C  85          1989                                        v...</t>
  </si>
  <si>
    <t>The Cultural context of infancy / edited by J. Kevin Nugent, Barry M. Lester, T. Berry Brazelton.</t>
  </si>
  <si>
    <t>V.1</t>
  </si>
  <si>
    <t>Norwood, N.J. : Ablex Pub. Corp., c1989-</t>
  </si>
  <si>
    <t>1989</t>
  </si>
  <si>
    <t>1997-11-02</t>
  </si>
  <si>
    <t>1992-12-01</t>
  </si>
  <si>
    <t>350094032:eng</t>
  </si>
  <si>
    <t>18463643</t>
  </si>
  <si>
    <t>991001354389702656</t>
  </si>
  <si>
    <t>2259371440002656</t>
  </si>
  <si>
    <t>9780893916275</t>
  </si>
  <si>
    <t>32285001400893</t>
  </si>
  <si>
    <t>893778736</t>
  </si>
  <si>
    <t>RJ134 .L36 1987</t>
  </si>
  <si>
    <t>0                      RJ 0134000L  36          1987</t>
  </si>
  <si>
    <t>Development in infancy : an introduction / Michael E. Lamb, Marc H. Bornstein.</t>
  </si>
  <si>
    <t>Lamb, Michael E., 1953-</t>
  </si>
  <si>
    <t>New York : Random House, 1987.</t>
  </si>
  <si>
    <t>2nd ed.</t>
  </si>
  <si>
    <t>1990-06-13</t>
  </si>
  <si>
    <t>4928198260:eng</t>
  </si>
  <si>
    <t>14819193</t>
  </si>
  <si>
    <t>991000961959702656</t>
  </si>
  <si>
    <t>2260075680002656</t>
  </si>
  <si>
    <t>9780394358093</t>
  </si>
  <si>
    <t>32285000191683</t>
  </si>
  <si>
    <t>893702602</t>
  </si>
  <si>
    <t>RJ135 .A85 1988</t>
  </si>
  <si>
    <t>0                      RJ 0135000A  85          1988</t>
  </si>
  <si>
    <t>Assessment of young developmentally disabled children / edited by Theodore D. Wachs and Robert Sheehan.</t>
  </si>
  <si>
    <t>New York : Plenum Press, c1988.</t>
  </si>
  <si>
    <t>1988</t>
  </si>
  <si>
    <t>Perspectives in developmental psychology</t>
  </si>
  <si>
    <t>1998-09-08</t>
  </si>
  <si>
    <t>1989-10-19</t>
  </si>
  <si>
    <t>354505762:eng</t>
  </si>
  <si>
    <t>17551656</t>
  </si>
  <si>
    <t>991001236829702656</t>
  </si>
  <si>
    <t>2263312700002656</t>
  </si>
  <si>
    <t>9780306427336</t>
  </si>
  <si>
    <t>32285000000694</t>
  </si>
  <si>
    <t>893602453</t>
  </si>
  <si>
    <t>RJ135 .A88 1984</t>
  </si>
  <si>
    <t>0                      RJ 0135000A  88          1984</t>
  </si>
  <si>
    <t>Atypical infant development / edited by Marci J. Hanson.</t>
  </si>
  <si>
    <t>Baltimore : University Park Press, c1984.</t>
  </si>
  <si>
    <t>1998-09-30</t>
  </si>
  <si>
    <t>54588159:eng</t>
  </si>
  <si>
    <t>9785495</t>
  </si>
  <si>
    <t>991000259219702656</t>
  </si>
  <si>
    <t>2259742350002656</t>
  </si>
  <si>
    <t>9780839118848</t>
  </si>
  <si>
    <t>32285001528495</t>
  </si>
  <si>
    <t>893249211</t>
  </si>
  <si>
    <t>RJ135 .H46 1990</t>
  </si>
  <si>
    <t>0                      RJ 0135000H  46          1990</t>
  </si>
  <si>
    <t>Handbook of early childhood intervention / edited by Samuel J. Meisels and Jack P. Shonkoff.</t>
  </si>
  <si>
    <t>Cambridge [England] ; New York : Cambridge University Press, 1990.</t>
  </si>
  <si>
    <t>2001-03-05</t>
  </si>
  <si>
    <t>1991-02-08</t>
  </si>
  <si>
    <t>349903569:eng</t>
  </si>
  <si>
    <t>20630532</t>
  </si>
  <si>
    <t>991001597599702656</t>
  </si>
  <si>
    <t>2263304480002656</t>
  </si>
  <si>
    <t>9780521387774</t>
  </si>
  <si>
    <t>32285000463439</t>
  </si>
  <si>
    <t>893238196</t>
  </si>
  <si>
    <t>RJ135 .H47</t>
  </si>
  <si>
    <t>0                      RJ 0135000H  47</t>
  </si>
  <si>
    <t>Beginning with the handicapped.</t>
  </si>
  <si>
    <t>Hart, Verna.</t>
  </si>
  <si>
    <t>Springfield, Ill., Thomas [1974]</t>
  </si>
  <si>
    <t>1994-10-27</t>
  </si>
  <si>
    <t>1991-12-11</t>
  </si>
  <si>
    <t>471552:eng</t>
  </si>
  <si>
    <t>858913</t>
  </si>
  <si>
    <t>991003329139702656</t>
  </si>
  <si>
    <t>2267350460002656</t>
  </si>
  <si>
    <t>9780398031794</t>
  </si>
  <si>
    <t>32285000886969</t>
  </si>
  <si>
    <t>893445614</t>
  </si>
  <si>
    <t>RJ138 .D48 1981, v...</t>
  </si>
  <si>
    <t>0                      RJ 0138000D  48          1981                                        v...</t>
  </si>
  <si>
    <t>Developmental programming for infants and young children / D. Sue Schafer and Martha S. Moersch, editors.</t>
  </si>
  <si>
    <t>V. 3</t>
  </si>
  <si>
    <t>Ann Arbor : University of Michigan Press, c1981-</t>
  </si>
  <si>
    <t>Rev. ed.</t>
  </si>
  <si>
    <t>miu</t>
  </si>
  <si>
    <t>2008-01-08</t>
  </si>
  <si>
    <t>1074696078:eng</t>
  </si>
  <si>
    <t>7930984</t>
  </si>
  <si>
    <t>991001784719702656</t>
  </si>
  <si>
    <t>2270968500002656</t>
  </si>
  <si>
    <t>9780472081417</t>
  </si>
  <si>
    <t>32285001528537</t>
  </si>
  <si>
    <t>893238337</t>
  </si>
  <si>
    <t>V. 1</t>
  </si>
  <si>
    <t>1992-05-12</t>
  </si>
  <si>
    <t>32285001108363</t>
  </si>
  <si>
    <t>893238338</t>
  </si>
  <si>
    <t>V. 2</t>
  </si>
  <si>
    <t>1997-02-05</t>
  </si>
  <si>
    <t>32285001528529</t>
  </si>
  <si>
    <t>893232263</t>
  </si>
  <si>
    <t>RJ138 .H34 1987</t>
  </si>
  <si>
    <t>0                      RJ 0138000H  34          1987</t>
  </si>
  <si>
    <t>Handicapped children and youth : a comprehensive community and clinical approach / edited by Helen M. Wallace ... [et al.].</t>
  </si>
  <si>
    <t>New York, N.Y. : Human Sciences Press, c1987.</t>
  </si>
  <si>
    <t>1997-05-29</t>
  </si>
  <si>
    <t>1991-12-06</t>
  </si>
  <si>
    <t>7243928:eng</t>
  </si>
  <si>
    <t>14168031</t>
  </si>
  <si>
    <t>991000915939702656</t>
  </si>
  <si>
    <t>2271455880002656</t>
  </si>
  <si>
    <t>9780898853339</t>
  </si>
  <si>
    <t>32285000885185</t>
  </si>
  <si>
    <t>893878454</t>
  </si>
  <si>
    <t>RJ138 .P45 1982</t>
  </si>
  <si>
    <t>0                      RJ 0138000P  45          1982</t>
  </si>
  <si>
    <t>Physically handicapped children : a medical atlas for teachers / edited by Eugene E. Bleck, Donald A. Nagel.</t>
  </si>
  <si>
    <t>New York : Grune &amp; Stratton, c1982.</t>
  </si>
  <si>
    <t>836702426:eng</t>
  </si>
  <si>
    <t>7671525</t>
  </si>
  <si>
    <t>991005146209702656</t>
  </si>
  <si>
    <t>2272673910002656</t>
  </si>
  <si>
    <t>9780808913917</t>
  </si>
  <si>
    <t>32285000887009</t>
  </si>
  <si>
    <t>893613202</t>
  </si>
  <si>
    <t>RJ138 .P49 1983</t>
  </si>
  <si>
    <t>0                      RJ 0138000P  49          1983</t>
  </si>
  <si>
    <t>Physical disabilities and health impairments : an introduction / John Umbreit, editor.</t>
  </si>
  <si>
    <t>Columbus : C.E. Merrill, c1983.</t>
  </si>
  <si>
    <t>1983</t>
  </si>
  <si>
    <t>ohu</t>
  </si>
  <si>
    <t>1992-02-26</t>
  </si>
  <si>
    <t>1363595504:eng</t>
  </si>
  <si>
    <t>9632580</t>
  </si>
  <si>
    <t>991000230049702656</t>
  </si>
  <si>
    <t>2267935240002656</t>
  </si>
  <si>
    <t>9780675200455</t>
  </si>
  <si>
    <t>32285000887017</t>
  </si>
  <si>
    <t>893796526</t>
  </si>
  <si>
    <t>RJ138 .P67</t>
  </si>
  <si>
    <t>0                      RJ 0138000P  67</t>
  </si>
  <si>
    <t>Program guide for infants and toddlers with neuromotor and other developmental disabilities / [edited by] Frances P. Connor, G. Gordon Williamson, John M. Siepp ; in cooperation with United Cerebral Palsy Associations, inc. --</t>
  </si>
  <si>
    <t>New York : Teachers College Press, c1978.</t>
  </si>
  <si>
    <t>2001-04-18</t>
  </si>
  <si>
    <t>359074332:eng</t>
  </si>
  <si>
    <t>3609511</t>
  </si>
  <si>
    <t>991004476539702656</t>
  </si>
  <si>
    <t>2271756350002656</t>
  </si>
  <si>
    <t>9780807725467</t>
  </si>
  <si>
    <t>32285000885193</t>
  </si>
  <si>
    <t>893807119</t>
  </si>
  <si>
    <t>RJ138 .T55 1983</t>
  </si>
  <si>
    <t>0                      RJ 0138000T  55          1983</t>
  </si>
  <si>
    <t>Handicapped infants and children : a handbook for parents and professionals / Carol Tingey-Michaelis.</t>
  </si>
  <si>
    <t>Tingey, Carol, 1933-</t>
  </si>
  <si>
    <t>Baltimore : University Park Press, c1983.</t>
  </si>
  <si>
    <t>13522213:eng</t>
  </si>
  <si>
    <t>9464420</t>
  </si>
  <si>
    <t>991000200109702656</t>
  </si>
  <si>
    <t>2264305720002656</t>
  </si>
  <si>
    <t>9780839117711</t>
  </si>
  <si>
    <t>32285000885201</t>
  </si>
  <si>
    <t>893601571</t>
  </si>
  <si>
    <t>RJ138 .W43</t>
  </si>
  <si>
    <t>0                      RJ 0138000W  43</t>
  </si>
  <si>
    <t>Who shall live? : The dilemma of severely handicapped children and its meaning for other moral questions / Leonard J. Weber.</t>
  </si>
  <si>
    <t>Weber, Leonard J., 1942-</t>
  </si>
  <si>
    <t>New York : Paulist Press, c1976.</t>
  </si>
  <si>
    <t>An Exploration book</t>
  </si>
  <si>
    <t>2004-08-05</t>
  </si>
  <si>
    <t>1991-12-13</t>
  </si>
  <si>
    <t>1102282460:eng</t>
  </si>
  <si>
    <t>2660101</t>
  </si>
  <si>
    <t>991001805749702656</t>
  </si>
  <si>
    <t>2261972950002656</t>
  </si>
  <si>
    <t>9780809119684</t>
  </si>
  <si>
    <t>32285000876077</t>
  </si>
  <si>
    <t>893352021</t>
  </si>
  <si>
    <t>RJ140 .B56 1989</t>
  </si>
  <si>
    <t>0                      RJ 0140000B  56          1989</t>
  </si>
  <si>
    <t>Biology of adolescent behavior and development / edited by Gerald R. Adams, Raymond Montemayor, Thomas P. Gullotta.</t>
  </si>
  <si>
    <t>Newbury Park, Calif. : Sage Publications, c1989.</t>
  </si>
  <si>
    <t>Advances in adolescent development ; v. 1</t>
  </si>
  <si>
    <t>2010-10-13</t>
  </si>
  <si>
    <t>1989-11-13</t>
  </si>
  <si>
    <t>21235115:eng</t>
  </si>
  <si>
    <t>19458690</t>
  </si>
  <si>
    <t>991001463619702656</t>
  </si>
  <si>
    <t>2271229500002656</t>
  </si>
  <si>
    <t>9780803934047</t>
  </si>
  <si>
    <t>32285000012798</t>
  </si>
  <si>
    <t>893321983</t>
  </si>
  <si>
    <t>RJ206 .F49 1989</t>
  </si>
  <si>
    <t>0                      RJ 0206000F  49          1989</t>
  </si>
  <si>
    <t>Starting out well : a parents' approach to physical activity &amp; nutrition / Helen T. Fish, Ronald B. Fish, Lawrence A. Golding.</t>
  </si>
  <si>
    <t>Fish, Helen T., 1944-</t>
  </si>
  <si>
    <t>Champaign, IL : Leisure Press, c1989.</t>
  </si>
  <si>
    <t>1996-11-10</t>
  </si>
  <si>
    <t>18817691:eng</t>
  </si>
  <si>
    <t>18778685</t>
  </si>
  <si>
    <t>991001391859702656</t>
  </si>
  <si>
    <t>2255290040002656</t>
  </si>
  <si>
    <t>9780880113465</t>
  </si>
  <si>
    <t>32285001528552</t>
  </si>
  <si>
    <t>893516168</t>
  </si>
  <si>
    <t>RJ216 .D35 1972a</t>
  </si>
  <si>
    <t>0                      RJ 0216000D  35          1972a</t>
  </si>
  <si>
    <t>Let's have healthy children / by Adelle Davis.</t>
  </si>
  <si>
    <t>Davis, Adelle.</t>
  </si>
  <si>
    <t>New York : New American Library, 1972.</t>
  </si>
  <si>
    <t>1972</t>
  </si>
  <si>
    <t>New and expanded ed.</t>
  </si>
  <si>
    <t>2006-08-24</t>
  </si>
  <si>
    <t>413303:eng</t>
  </si>
  <si>
    <t>5868116</t>
  </si>
  <si>
    <t>991004890659702656</t>
  </si>
  <si>
    <t>2262073360002656</t>
  </si>
  <si>
    <t>32285001528750</t>
  </si>
  <si>
    <t>893625209</t>
  </si>
  <si>
    <t>RJ216 .G63 1996</t>
  </si>
  <si>
    <t>0                      RJ 0216000G  63          1996</t>
  </si>
  <si>
    <t>A social history of wet nursing in America : from breast to bottle / Janet Golden.</t>
  </si>
  <si>
    <t>Golden, Janet Lynne, 1951-</t>
  </si>
  <si>
    <t>Cambridge [England] ; New York, NY : Cambridge University Press, 1996.</t>
  </si>
  <si>
    <t>Cambridge history of medicine</t>
  </si>
  <si>
    <t>2004-12-01</t>
  </si>
  <si>
    <t>1998-03-31</t>
  </si>
  <si>
    <t>364431959:eng</t>
  </si>
  <si>
    <t>32665906</t>
  </si>
  <si>
    <t>991002512539702656</t>
  </si>
  <si>
    <t>2264499460002656</t>
  </si>
  <si>
    <t>9780521495448</t>
  </si>
  <si>
    <t>32285003382172</t>
  </si>
  <si>
    <t>893710380</t>
  </si>
  <si>
    <t>RJ216 .K5</t>
  </si>
  <si>
    <t>0                      RJ 0216000K  5</t>
  </si>
  <si>
    <t>Breast-feeding and natural child spacing : the ecology of natural mothering / Drawings by Gigi Nealon.</t>
  </si>
  <si>
    <t>Kippley, Sheila.</t>
  </si>
  <si>
    <t>New York : Harper &amp; Row, [1973, c1974]</t>
  </si>
  <si>
    <t>[1st ed.]</t>
  </si>
  <si>
    <t>1997-01-15</t>
  </si>
  <si>
    <t>1995-08-03</t>
  </si>
  <si>
    <t>402382:eng</t>
  </si>
  <si>
    <t>673288</t>
  </si>
  <si>
    <t>991003130039702656</t>
  </si>
  <si>
    <t>2268876870002656</t>
  </si>
  <si>
    <t>9780060123994</t>
  </si>
  <si>
    <t>32285002061793</t>
  </si>
  <si>
    <t>893868127</t>
  </si>
  <si>
    <t>RJ216 .M3 1983</t>
  </si>
  <si>
    <t>0                      RJ 0216000M  3           1983</t>
  </si>
  <si>
    <t>The dilemma of third world nutrition : Nestlé and the role of infant formula / report prepared for Nestlé S. A. by Maggie McComas, Geoffrey Fookes and George Taucher ; reviewed for medical accuracy by Frank T. Falkner.</t>
  </si>
  <si>
    <t>McComas, Maggie.</t>
  </si>
  <si>
    <t>[S.l.] : Nestlé S. A., c1983.</t>
  </si>
  <si>
    <t>2008-02-20</t>
  </si>
  <si>
    <t>5467130:eng</t>
  </si>
  <si>
    <t>9904685</t>
  </si>
  <si>
    <t>991000278489702656</t>
  </si>
  <si>
    <t>2265211340002656</t>
  </si>
  <si>
    <t>32285001528578</t>
  </si>
  <si>
    <t>893701992</t>
  </si>
  <si>
    <t>RJ216 .P77 1973</t>
  </si>
  <si>
    <t>0                      RJ 0216000P  77          1973</t>
  </si>
  <si>
    <t>Nursing your baby / by Karen Pryor. Drawings by Jana Sparks.</t>
  </si>
  <si>
    <t>Pryor, Karen, 1932-</t>
  </si>
  <si>
    <t>New York : Harper &amp; Row, [c1973]</t>
  </si>
  <si>
    <t>New rev. ed.</t>
  </si>
  <si>
    <t>2000-08-28</t>
  </si>
  <si>
    <t>1552939:eng</t>
  </si>
  <si>
    <t>1115939</t>
  </si>
  <si>
    <t>991003548549702656</t>
  </si>
  <si>
    <t>2267016710002656</t>
  </si>
  <si>
    <t>9780060134433</t>
  </si>
  <si>
    <t>32285000998160</t>
  </si>
  <si>
    <t>893717781</t>
  </si>
  <si>
    <t>RJ216 .R835 2008</t>
  </si>
  <si>
    <t>0                      RJ 0216000R  835         2008</t>
  </si>
  <si>
    <t>The ABCs of breastfeeding : everything a mom needs to know for a happy nursing experience / Stacey H. Rubin.</t>
  </si>
  <si>
    <t>Rubin, Stacey H.</t>
  </si>
  <si>
    <t>New York : AMACOM, c2008.</t>
  </si>
  <si>
    <t>2008</t>
  </si>
  <si>
    <t>2008-03-03</t>
  </si>
  <si>
    <t>793004651:eng</t>
  </si>
  <si>
    <t>154772612</t>
  </si>
  <si>
    <t>991005186459702656</t>
  </si>
  <si>
    <t>2267853530002656</t>
  </si>
  <si>
    <t>9780814480571</t>
  </si>
  <si>
    <t>32285005395552</t>
  </si>
  <si>
    <t>893707411</t>
  </si>
  <si>
    <t>RJ242 .B47 1989</t>
  </si>
  <si>
    <t>0                      RJ 0242000B  47          1989</t>
  </si>
  <si>
    <t>Biting off the bracelet : a study of children in hospitals / Ann Hill Beuf.</t>
  </si>
  <si>
    <t>Beuf, Ann H., 1938-</t>
  </si>
  <si>
    <t>Philadelphia : University of Pennsylvania Press, c1989.</t>
  </si>
  <si>
    <t>pau</t>
  </si>
  <si>
    <t>1997-12-01</t>
  </si>
  <si>
    <t>1990-06-21</t>
  </si>
  <si>
    <t>472461:eng</t>
  </si>
  <si>
    <t>17954715</t>
  </si>
  <si>
    <t>991001286839702656</t>
  </si>
  <si>
    <t>2264401260002656</t>
  </si>
  <si>
    <t>9780812212785</t>
  </si>
  <si>
    <t>32285000179084</t>
  </si>
  <si>
    <t>893590174</t>
  </si>
  <si>
    <t>RJ242 .H35</t>
  </si>
  <si>
    <t>0                      RJ 0242000H  35</t>
  </si>
  <si>
    <t>Parents and children in the hospital; the family's role in pediatrics [by] Carol B. Hardgrove [and] Rosemary B. Dawson.</t>
  </si>
  <si>
    <t>Hardgrove, Carol B.</t>
  </si>
  <si>
    <t>Boston, Little, Brown [1972]</t>
  </si>
  <si>
    <t>1996-11-26</t>
  </si>
  <si>
    <t>1992-08-12</t>
  </si>
  <si>
    <t>53783336:eng</t>
  </si>
  <si>
    <t>340979</t>
  </si>
  <si>
    <t>991005264999702656</t>
  </si>
  <si>
    <t>2263058780002656</t>
  </si>
  <si>
    <t>9780031634603</t>
  </si>
  <si>
    <t>32285001243715</t>
  </si>
  <si>
    <t>893527200</t>
  </si>
  <si>
    <t>RJ242 .P47 1980</t>
  </si>
  <si>
    <t>0                      RJ 0242000P  47          1980</t>
  </si>
  <si>
    <t>Emotional care of hospitalized children : an environmental approach / Madeline Petrillo and Sirgay Sanger.</t>
  </si>
  <si>
    <t>Petrillo, Madeline, 1935-</t>
  </si>
  <si>
    <t>Philadelphia : Lippincott, c1980.</t>
  </si>
  <si>
    <t>2d ed.</t>
  </si>
  <si>
    <t>2004-05-14</t>
  </si>
  <si>
    <t>53956568:eng</t>
  </si>
  <si>
    <t>5894014</t>
  </si>
  <si>
    <t>991004896159702656</t>
  </si>
  <si>
    <t>2264405180002656</t>
  </si>
  <si>
    <t>9780397543434</t>
  </si>
  <si>
    <t>32285001528602</t>
  </si>
  <si>
    <t>893606570</t>
  </si>
  <si>
    <t>RJ242 .P73 1983</t>
  </si>
  <si>
    <t>0                      RJ 0242000P  73          1983</t>
  </si>
  <si>
    <t>Preparation of young healthy children for possible hospitalization : the issues / edited by Pat Azarnoff.</t>
  </si>
  <si>
    <t>Santa Monica, CA : Pediatric Projects, c1983.</t>
  </si>
  <si>
    <t>Monograph (Pediatric Projects Inc.) ; no. 1</t>
  </si>
  <si>
    <t>2008-02-25</t>
  </si>
  <si>
    <t>5532146786:eng</t>
  </si>
  <si>
    <t>9504000</t>
  </si>
  <si>
    <t>991001785159702656</t>
  </si>
  <si>
    <t>2272217580002656</t>
  </si>
  <si>
    <t>9780912599007</t>
  </si>
  <si>
    <t>32285001528610</t>
  </si>
  <si>
    <t>893509920</t>
  </si>
  <si>
    <t>RJ245 .H37 1983</t>
  </si>
  <si>
    <t>0                      RJ 0245000H  37          1983</t>
  </si>
  <si>
    <t>Health promotion of the child with long-term illness / [edited by] Shirley Steele.</t>
  </si>
  <si>
    <t>Norwalk, Conn. : Appleton-Century-Crofts, c1983.</t>
  </si>
  <si>
    <t>ctu</t>
  </si>
  <si>
    <t>1994-02-02</t>
  </si>
  <si>
    <t>1998-03-24</t>
  </si>
  <si>
    <t>1992-03-26</t>
  </si>
  <si>
    <t>42754805:eng</t>
  </si>
  <si>
    <t>8866177</t>
  </si>
  <si>
    <t>991001759349702656</t>
  </si>
  <si>
    <t>2262478580002656</t>
  </si>
  <si>
    <t>9780838536674</t>
  </si>
  <si>
    <t>32285001045078</t>
  </si>
  <si>
    <t>893408330</t>
  </si>
  <si>
    <t>RJ249 .C487 1991</t>
  </si>
  <si>
    <t>0                      RJ 0249000C  487         1991</t>
  </si>
  <si>
    <t>Children and death / edited by Danai Papadatou, Costas Papadatos.</t>
  </si>
  <si>
    <t>New York : Hemisphere Pub. Corp., c1991.</t>
  </si>
  <si>
    <t>Series in death education, aging, and health care</t>
  </si>
  <si>
    <t>2000-10-11</t>
  </si>
  <si>
    <t>1992-08-04</t>
  </si>
  <si>
    <t>375372253:eng</t>
  </si>
  <si>
    <t>22597421</t>
  </si>
  <si>
    <t>991001796269702656</t>
  </si>
  <si>
    <t>2254937090002656</t>
  </si>
  <si>
    <t>9781560320432</t>
  </si>
  <si>
    <t>32285001196582</t>
  </si>
  <si>
    <t>893522862</t>
  </si>
  <si>
    <t>RJ249 .H67 1985</t>
  </si>
  <si>
    <t>0                      RJ 0249000H  67          1985</t>
  </si>
  <si>
    <t>Hospice approaches to pediatric care / Charles A. Corr, Donna M. Corr, editors.</t>
  </si>
  <si>
    <t>New York : Springer Pub. Co., c1985.</t>
  </si>
  <si>
    <t>1996-10-07</t>
  </si>
  <si>
    <t>1990-03-20</t>
  </si>
  <si>
    <t>356118862:eng</t>
  </si>
  <si>
    <t>11519043</t>
  </si>
  <si>
    <t>991000547239702656</t>
  </si>
  <si>
    <t>2267405040002656</t>
  </si>
  <si>
    <t>9780826146007</t>
  </si>
  <si>
    <t>32285000088616</t>
  </si>
  <si>
    <t>893237406</t>
  </si>
  <si>
    <t>RJ250 .S78 1983</t>
  </si>
  <si>
    <t>0                      RJ 0250000S  78          1983</t>
  </si>
  <si>
    <t>The long dying of baby Andrew / by Robert and Peggy Stinson.</t>
  </si>
  <si>
    <t>Stinson, Robert, 1941-</t>
  </si>
  <si>
    <t>Boston : Little, Brown, c1983.</t>
  </si>
  <si>
    <t>2004-08-27</t>
  </si>
  <si>
    <t>448859:eng</t>
  </si>
  <si>
    <t>9017650</t>
  </si>
  <si>
    <t>991000112619702656</t>
  </si>
  <si>
    <t>2258136850002656</t>
  </si>
  <si>
    <t>9780316816359</t>
  </si>
  <si>
    <t>32285000900786</t>
  </si>
  <si>
    <t>893320812</t>
  </si>
  <si>
    <t>RJ250 .V84</t>
  </si>
  <si>
    <t>0                      RJ 0250000V  84</t>
  </si>
  <si>
    <t>Vulnerable infants : a psychosocial dilemma / edited by Jane Linker Schwartz, Lawrence H. Schwartz.</t>
  </si>
  <si>
    <t>New York : McGraw-Hill, c1977.</t>
  </si>
  <si>
    <t>1994-09-26</t>
  </si>
  <si>
    <t>2001-03-26</t>
  </si>
  <si>
    <t>1992-03-13</t>
  </si>
  <si>
    <t>894521366:eng</t>
  </si>
  <si>
    <t>2225056</t>
  </si>
  <si>
    <t>991001776839702656</t>
  </si>
  <si>
    <t>2259192590002656</t>
  </si>
  <si>
    <t>9780070557642</t>
  </si>
  <si>
    <t>32285001020139</t>
  </si>
  <si>
    <t>893420617</t>
  </si>
  <si>
    <t>RJ250.3 .H45 1997</t>
  </si>
  <si>
    <t>0                      RJ 0250300H  45          1997</t>
  </si>
  <si>
    <t>Helping low birth weight, premature babies : the infant health and development program / edited by Ruth T. Gross, Donna Spiker, and Christine W. Haynes.</t>
  </si>
  <si>
    <t>Stanford, Calif. : Stanford University Press, 1997.</t>
  </si>
  <si>
    <t>2008-10-01</t>
  </si>
  <si>
    <t>1997-11-18</t>
  </si>
  <si>
    <t>364510169:eng</t>
  </si>
  <si>
    <t>34121056</t>
  </si>
  <si>
    <t>991002605499702656</t>
  </si>
  <si>
    <t>2269200760002656</t>
  </si>
  <si>
    <t>9780804726122</t>
  </si>
  <si>
    <t>32285003271292</t>
  </si>
  <si>
    <t>893792664</t>
  </si>
  <si>
    <t>RJ251 .K56</t>
  </si>
  <si>
    <t>0                      RJ 0251000K  56</t>
  </si>
  <si>
    <t>Maternal-infant bonding : the impact of early separation or loss on family development / Marshall H. Klaus, John H. Kennell.</t>
  </si>
  <si>
    <t>Klaus, Marshall H., 1927-2017.</t>
  </si>
  <si>
    <t>Saint Louis : Mosby, 1976.</t>
  </si>
  <si>
    <t>mou</t>
  </si>
  <si>
    <t>2003-12-23</t>
  </si>
  <si>
    <t>9415496925:eng</t>
  </si>
  <si>
    <t>2074284</t>
  </si>
  <si>
    <t>991005224769702656</t>
  </si>
  <si>
    <t>2264082420002656</t>
  </si>
  <si>
    <t>9780801626302</t>
  </si>
  <si>
    <t>32285003093415</t>
  </si>
  <si>
    <t>893870727</t>
  </si>
  <si>
    <t>RJ253 .E88 1987</t>
  </si>
  <si>
    <t>0                      RJ 0253000E  88          1987</t>
  </si>
  <si>
    <t>Euthanasia and the newborn : conflicts regarding saving lives / edited by Richard C. McMillan, H. Tristram Engelhardt, Jr., and Stuart F. Spicker.</t>
  </si>
  <si>
    <t>Dordrecht ; Boston : D. Reidel Pub. Co. ; Norwell, MA, U.S.A. : Sold and distributed in the U.S.A. and Canada by Kluwer Academic Publishers, c1987.</t>
  </si>
  <si>
    <t xml:space="preserve">ne </t>
  </si>
  <si>
    <t>Philosophy and medicine ; v. 24</t>
  </si>
  <si>
    <t>2001-03-30</t>
  </si>
  <si>
    <t>1992-01-20</t>
  </si>
  <si>
    <t>836702874:eng</t>
  </si>
  <si>
    <t>15084710</t>
  </si>
  <si>
    <t>991000988809702656</t>
  </si>
  <si>
    <t>2255181320002656</t>
  </si>
  <si>
    <t>9789027722997</t>
  </si>
  <si>
    <t>32285000915859</t>
  </si>
  <si>
    <t>893715069</t>
  </si>
  <si>
    <t>RJ253.5 .G85 1986</t>
  </si>
  <si>
    <t>0                      RJ 0253500G  85          1986</t>
  </si>
  <si>
    <t>Mixed blessings : intensive care for newborns / Jeanne Harley Guillemin, Lynda Lytle Holmstrom.</t>
  </si>
  <si>
    <t>Guillemin, Jeanne, 1943-</t>
  </si>
  <si>
    <t>New York : Oxford University Press, 1986.</t>
  </si>
  <si>
    <t>1986</t>
  </si>
  <si>
    <t>2005-03-29</t>
  </si>
  <si>
    <t>5635051:eng</t>
  </si>
  <si>
    <t>12974899</t>
  </si>
  <si>
    <t>991000762709702656</t>
  </si>
  <si>
    <t>2262445140002656</t>
  </si>
  <si>
    <t>9780195040326</t>
  </si>
  <si>
    <t>32285001020121</t>
  </si>
  <si>
    <t>893865652</t>
  </si>
  <si>
    <t>RJ253.5 .L96 1985</t>
  </si>
  <si>
    <t>0                      RJ 0253500L  96          1985</t>
  </si>
  <si>
    <t>Playing God in the nursery / Jeff Lyon.</t>
  </si>
  <si>
    <t>Lyon, Jeff.</t>
  </si>
  <si>
    <t>New York : W.W. Norton, c1985.</t>
  </si>
  <si>
    <t>2003-10-03</t>
  </si>
  <si>
    <t>1992-04-30</t>
  </si>
  <si>
    <t>3866027:eng</t>
  </si>
  <si>
    <t>11370066</t>
  </si>
  <si>
    <t>991000525119702656</t>
  </si>
  <si>
    <t>2260192070002656</t>
  </si>
  <si>
    <t>9780393018981</t>
  </si>
  <si>
    <t>32285001096725</t>
  </si>
  <si>
    <t>893771716</t>
  </si>
  <si>
    <t>RJ253.5 .P54 2002</t>
  </si>
  <si>
    <t>0                      RJ 0253500P  54          2002</t>
  </si>
  <si>
    <t>When the bough breaks : parental perceptions of ethical decision-making in NICU / Winifred J. Ellenchild Pinch.</t>
  </si>
  <si>
    <t>Pinch, Winifred.</t>
  </si>
  <si>
    <t>Lanham, Md. : University Press of America, c2002.</t>
  </si>
  <si>
    <t>2002</t>
  </si>
  <si>
    <t>2007-02-27</t>
  </si>
  <si>
    <t>2002-09-24</t>
  </si>
  <si>
    <t>2003-02-18</t>
  </si>
  <si>
    <t>891567228:eng</t>
  </si>
  <si>
    <t>49679803</t>
  </si>
  <si>
    <t>991001716319702656</t>
  </si>
  <si>
    <t>2264147380002656</t>
  </si>
  <si>
    <t>9780761823162</t>
  </si>
  <si>
    <t>32285004648365</t>
  </si>
  <si>
    <t>893315986</t>
  </si>
  <si>
    <t>RJ253.5 .S62 1988</t>
  </si>
  <si>
    <t>0                      RJ 0253500S  62          1988</t>
  </si>
  <si>
    <t>To treat or not to treat : bioethics and the handicapped newborn / Richard C. Sparks ; [index prepared by Michael Kerrigan].</t>
  </si>
  <si>
    <t>Sparks, Richard C., 1950-</t>
  </si>
  <si>
    <t>New York : Paulist Press, c1988.</t>
  </si>
  <si>
    <t>2000-04-02</t>
  </si>
  <si>
    <t>432497891:eng</t>
  </si>
  <si>
    <t>17732278</t>
  </si>
  <si>
    <t>991001257069702656</t>
  </si>
  <si>
    <t>2271000230002656</t>
  </si>
  <si>
    <t>9780809129935</t>
  </si>
  <si>
    <t>32285001096733</t>
  </si>
  <si>
    <t>893420207</t>
  </si>
  <si>
    <t>RJ253.5 .W44 1984</t>
  </si>
  <si>
    <t>0                      RJ 0253500W  44          1984</t>
  </si>
  <si>
    <t>Selective nontreatment of handicapped newborns : moral dilemmas in neonatal medicine / Robert F. Weir.</t>
  </si>
  <si>
    <t>Weir, Robert F., 1943-</t>
  </si>
  <si>
    <t>New York : Oxford University Press, 1984.</t>
  </si>
  <si>
    <t>2001-06-15</t>
  </si>
  <si>
    <t>2004-06-28</t>
  </si>
  <si>
    <t>1994-04-29</t>
  </si>
  <si>
    <t>28671036:eng</t>
  </si>
  <si>
    <t>9946318</t>
  </si>
  <si>
    <t>991001626379702656</t>
  </si>
  <si>
    <t>2261635430002656</t>
  </si>
  <si>
    <t>9780195033960</t>
  </si>
  <si>
    <t>32285001906345</t>
  </si>
  <si>
    <t>893250338</t>
  </si>
  <si>
    <t>RJ254 .I53</t>
  </si>
  <si>
    <t>0                      RJ 0254000I  53</t>
  </si>
  <si>
    <t>Infants born at risk : behavior and development / edited by Tiffany Field.</t>
  </si>
  <si>
    <t>Jamaica, N.Y. : Spectrum Publications, c1979.</t>
  </si>
  <si>
    <t>2000-02-16</t>
  </si>
  <si>
    <t>1992-04-27</t>
  </si>
  <si>
    <t>13155370:eng</t>
  </si>
  <si>
    <t>3912783</t>
  </si>
  <si>
    <t>991004544699702656</t>
  </si>
  <si>
    <t>2260407470002656</t>
  </si>
  <si>
    <t>9780893350574</t>
  </si>
  <si>
    <t>32285001072577</t>
  </si>
  <si>
    <t>893247705</t>
  </si>
  <si>
    <t>RJ255 .W49 1985</t>
  </si>
  <si>
    <t>0                      RJ 0255000W  49          1985</t>
  </si>
  <si>
    <t>Which babies shall live? : humanistic dimensions of the care of imperiled newborns / edited by Thomas H. Murray and Arthur L. Caplan.</t>
  </si>
  <si>
    <t>Clifton, N.J. : Humana Press, c1985.</t>
  </si>
  <si>
    <t>Contemporary issues in biomedicine, ethics, and society</t>
  </si>
  <si>
    <t>2005-10-20</t>
  </si>
  <si>
    <t>889389943:eng</t>
  </si>
  <si>
    <t>12370863</t>
  </si>
  <si>
    <t>991001805709702656</t>
  </si>
  <si>
    <t>2261443060002656</t>
  </si>
  <si>
    <t>9780896030862</t>
  </si>
  <si>
    <t>32285001096741</t>
  </si>
  <si>
    <t>893250522</t>
  </si>
  <si>
    <t>RJ255.L65 L65 1993</t>
  </si>
  <si>
    <t>0                      RJ 0255000L  65                 L  65          1993</t>
  </si>
  <si>
    <t>Anna : a daughter's life / William Loizeaux.</t>
  </si>
  <si>
    <t>Loizeaux, William.</t>
  </si>
  <si>
    <t>New York : Arcade Pub. : Distributed by Little, Brown and Co., c1993.</t>
  </si>
  <si>
    <t>2003-11-11</t>
  </si>
  <si>
    <t>1994-05-11</t>
  </si>
  <si>
    <t>1103715023:eng</t>
  </si>
  <si>
    <t>26262497</t>
  </si>
  <si>
    <t>991001688479702656</t>
  </si>
  <si>
    <t>2266833500002656</t>
  </si>
  <si>
    <t>9781559701976</t>
  </si>
  <si>
    <t>32285001895795</t>
  </si>
  <si>
    <t>893433034</t>
  </si>
  <si>
    <t>RJ27 .M37 1983</t>
  </si>
  <si>
    <t>0                      RJ 0027000M  37          1983</t>
  </si>
  <si>
    <t>Everyday pediatrics : anatomy of rationale, diagnosis and therapy of common pediatric problems encountered in everyday pediatrics / by George D. Maragos ; with the collaboration of fifteen contributors.</t>
  </si>
  <si>
    <t>Maragos, George D.</t>
  </si>
  <si>
    <t>New Delhi : Interprint, c1983.</t>
  </si>
  <si>
    <t xml:space="preserve">ii </t>
  </si>
  <si>
    <t>Pediatrics (New Delhi, India)</t>
  </si>
  <si>
    <t>1994-02-08</t>
  </si>
  <si>
    <t>428582622:eng</t>
  </si>
  <si>
    <t>11200572</t>
  </si>
  <si>
    <t>991000504399702656</t>
  </si>
  <si>
    <t>2261934130002656</t>
  </si>
  <si>
    <t>32285001609519</t>
  </si>
  <si>
    <t>893607963</t>
  </si>
  <si>
    <t>RJ370 .C73 1996</t>
  </si>
  <si>
    <t>0                      RJ 0370000C  73          1996</t>
  </si>
  <si>
    <t>Critical care of infants and children / edited by I. David Todres and John H. Fugate ; foreword by Donald N. Medearis, Jr.</t>
  </si>
  <si>
    <t>Boston : Little, Brown, c1996.</t>
  </si>
  <si>
    <t>1999-04-20</t>
  </si>
  <si>
    <t>1997-01-13</t>
  </si>
  <si>
    <t>365343587:eng</t>
  </si>
  <si>
    <t>33819932</t>
  </si>
  <si>
    <t>991002581239702656</t>
  </si>
  <si>
    <t>2271175380002656</t>
  </si>
  <si>
    <t>9780316850209</t>
  </si>
  <si>
    <t>32285002407285</t>
  </si>
  <si>
    <t>893773775</t>
  </si>
  <si>
    <t>RJ380 .I56 1987</t>
  </si>
  <si>
    <t>0                      RJ 0380000I  56          1987</t>
  </si>
  <si>
    <t>Children and exercise XIII / edited by Svein Oseid and Kai-Håkon Carlsen.</t>
  </si>
  <si>
    <t>International Congress on Pediatric Work Physiology (13th : 1987 : Hurdal, Norway)</t>
  </si>
  <si>
    <t>Champaign, Ill. : Human Kinetics Books, c1989.</t>
  </si>
  <si>
    <t>International series on sport sciences, 0160-0559 ; v. 19</t>
  </si>
  <si>
    <t>2005-11-28</t>
  </si>
  <si>
    <t>1992-01-28</t>
  </si>
  <si>
    <t>353607057:eng</t>
  </si>
  <si>
    <t>18560553</t>
  </si>
  <si>
    <t>991001369169702656</t>
  </si>
  <si>
    <t>2271493540002656</t>
  </si>
  <si>
    <t>9780873221887</t>
  </si>
  <si>
    <t>32285000867894</t>
  </si>
  <si>
    <t>893608799</t>
  </si>
  <si>
    <t>RJ387.A25 C48 1995</t>
  </si>
  <si>
    <t>0                      RJ 0387000A  25                 C  48          1995</t>
  </si>
  <si>
    <t>Children, families, and HIV/AIDS : psychosocial and therapeutic issues / editors, Nancy Boyd-Franklin, Gloria L. Steiner, Mary G. Boland ; foreword by James Oleske.</t>
  </si>
  <si>
    <t>New York : Guilford Press, 1995.</t>
  </si>
  <si>
    <t>1995</t>
  </si>
  <si>
    <t>2004-03-31</t>
  </si>
  <si>
    <t>1996-08-08</t>
  </si>
  <si>
    <t>351550707:eng</t>
  </si>
  <si>
    <t>28929040</t>
  </si>
  <si>
    <t>991002243439702656</t>
  </si>
  <si>
    <t>2270699220002656</t>
  </si>
  <si>
    <t>9780898621471</t>
  </si>
  <si>
    <t>32285002272119</t>
  </si>
  <si>
    <t>893316566</t>
  </si>
  <si>
    <t>RJ387.A25 H46 1992</t>
  </si>
  <si>
    <t>0                      RJ 0387000A  25                 H  46          1992</t>
  </si>
  <si>
    <t>Pediatric and adolescent AIDS : research findings from the social sciences / Scott W. Henggeler, Gary B. Melton, James R. Rodrigue.</t>
  </si>
  <si>
    <t>Henggeler, Scott W., 1950-</t>
  </si>
  <si>
    <t>Newbury Park, Calif. : Sage Publications, c1992.</t>
  </si>
  <si>
    <t>1992</t>
  </si>
  <si>
    <t>2007-01-25</t>
  </si>
  <si>
    <t>1992-08-25</t>
  </si>
  <si>
    <t>836887523:eng</t>
  </si>
  <si>
    <t>25592592</t>
  </si>
  <si>
    <t>991002011659702656</t>
  </si>
  <si>
    <t>2261027440002656</t>
  </si>
  <si>
    <t>9780803939820</t>
  </si>
  <si>
    <t>32285001198299</t>
  </si>
  <si>
    <t>893892031</t>
  </si>
  <si>
    <t>RJ387.A25 M32 1988</t>
  </si>
  <si>
    <t>0                      RJ 0387000A  25                 M  32          1988</t>
  </si>
  <si>
    <t>Morning-glory babies : children with AIDS and the celebration of life / Tolbert McCarroll.</t>
  </si>
  <si>
    <t>McCarroll, Tolbert.</t>
  </si>
  <si>
    <t>New York : St. Martin's Press, c1988.</t>
  </si>
  <si>
    <t>2002-11-09</t>
  </si>
  <si>
    <t>1990-05-24</t>
  </si>
  <si>
    <t>836780774:eng</t>
  </si>
  <si>
    <t>18134748</t>
  </si>
  <si>
    <t>991001308509702656</t>
  </si>
  <si>
    <t>2259764680002656</t>
  </si>
  <si>
    <t>9780312022556</t>
  </si>
  <si>
    <t>32285000138395</t>
  </si>
  <si>
    <t>893602505</t>
  </si>
  <si>
    <t>RJ399 P37 1989</t>
  </si>
  <si>
    <t>0                      RJ 0399000P  37          1989</t>
  </si>
  <si>
    <t>The relationship between nutrition and learning : a school employee's guide to information and action / prepared by Lynn Parker.</t>
  </si>
  <si>
    <t>Parker, Lynn.</t>
  </si>
  <si>
    <t>Washington, D.C. : National Education Assn., c1989.</t>
  </si>
  <si>
    <t>2004-03-16</t>
  </si>
  <si>
    <t>1992-02-19</t>
  </si>
  <si>
    <t>21169585:eng</t>
  </si>
  <si>
    <t>19655138</t>
  </si>
  <si>
    <t>991001485879702656</t>
  </si>
  <si>
    <t>2254762260002656</t>
  </si>
  <si>
    <t>32285000971407</t>
  </si>
  <si>
    <t>893596503</t>
  </si>
  <si>
    <t>RJ399.C6 E93 1988</t>
  </si>
  <si>
    <t>0                      RJ 0399000C  6                  E  93          1988</t>
  </si>
  <si>
    <t>Evaluation and management of eating disorders : anorexia, bulimia, and obesity / edited by Kristine L. Clark, Richard B. Parr, William P. Castelli.</t>
  </si>
  <si>
    <t>Champaign, Ill. : Life Enhancement Publications, c1988.</t>
  </si>
  <si>
    <t>La Crosse exercise and health series, 0894-4261</t>
  </si>
  <si>
    <t>2007-02-23</t>
  </si>
  <si>
    <t>1991-08-26</t>
  </si>
  <si>
    <t>12619447:eng</t>
  </si>
  <si>
    <t>16682713</t>
  </si>
  <si>
    <t>991001130709702656</t>
  </si>
  <si>
    <t>2272137350002656</t>
  </si>
  <si>
    <t>9780873229111</t>
  </si>
  <si>
    <t>32285000701895</t>
  </si>
  <si>
    <t>893426345</t>
  </si>
  <si>
    <t>RJ399.C6 K52 1987</t>
  </si>
  <si>
    <t>0                      RJ 0399000C  6                  K  52          1987</t>
  </si>
  <si>
    <t>Treating childhood and adolescent obesity / Daniel S. Kirschenbaum, William G. Johnson, Peter M. Stalonas, Jr.</t>
  </si>
  <si>
    <t>Kirschenbaum, Daniel S., 1950-</t>
  </si>
  <si>
    <t>New York : Pergamon Press, c1987.</t>
  </si>
  <si>
    <t>Psychology practitioner guidebooks</t>
  </si>
  <si>
    <t>2006-10-31</t>
  </si>
  <si>
    <t>9084323:eng</t>
  </si>
  <si>
    <t>14588853</t>
  </si>
  <si>
    <t>991000948349702656</t>
  </si>
  <si>
    <t>2267425990002656</t>
  </si>
  <si>
    <t>9780080324135</t>
  </si>
  <si>
    <t>32285000982834</t>
  </si>
  <si>
    <t>893321514</t>
  </si>
  <si>
    <t>RJ399.C6 Y68 2008</t>
  </si>
  <si>
    <t>0                      RJ 0399000C  6                  Y  68          2008</t>
  </si>
  <si>
    <t>Youth physical activity and sedentary behavior : challenges and solutions / Alan L. Smith, Stuart J.H. Biddle, editors.</t>
  </si>
  <si>
    <t>Champaign, IL : Human Kinetics, c2008.</t>
  </si>
  <si>
    <t>2010-12-07</t>
  </si>
  <si>
    <t>865130689:eng</t>
  </si>
  <si>
    <t>213008133</t>
  </si>
  <si>
    <t>991000377759702656</t>
  </si>
  <si>
    <t>2255076070002656</t>
  </si>
  <si>
    <t>9780736065092</t>
  </si>
  <si>
    <t>32285005609283</t>
  </si>
  <si>
    <t>893243189</t>
  </si>
  <si>
    <t>RJ399.M26 M34 1976b</t>
  </si>
  <si>
    <t>0                      RJ 0399000M  26                 M  34          1976b</t>
  </si>
  <si>
    <t>Malnutrition and intellectual development / edited by John D. Lloyd-Still.</t>
  </si>
  <si>
    <t>Lancaster, Eng. : MTP Press, c1976.</t>
  </si>
  <si>
    <t>1998-11-03</t>
  </si>
  <si>
    <t>1994-02-14</t>
  </si>
  <si>
    <t>54149209:eng</t>
  </si>
  <si>
    <t>2720378</t>
  </si>
  <si>
    <t>991004223419702656</t>
  </si>
  <si>
    <t>2256009200002656</t>
  </si>
  <si>
    <t>9780852001400</t>
  </si>
  <si>
    <t>32285001838225</t>
  </si>
  <si>
    <t>893253415</t>
  </si>
  <si>
    <t>RJ399.N8 S67 1982</t>
  </si>
  <si>
    <t>0                      RJ 0399000N  8                  S  67          1982</t>
  </si>
  <si>
    <t>Nutrition casebook on developmental disabilities / Ninfa Saturnino Springer.</t>
  </si>
  <si>
    <t>Springer, Ninfa Saturnino.</t>
  </si>
  <si>
    <t>Syracuse, N.Y. : Syracuse University Press, 1982.</t>
  </si>
  <si>
    <t>477753:eng</t>
  </si>
  <si>
    <t>8034646</t>
  </si>
  <si>
    <t>991005195189702656</t>
  </si>
  <si>
    <t>2267579240002656</t>
  </si>
  <si>
    <t>9780815622598</t>
  </si>
  <si>
    <t>32285001528636</t>
  </si>
  <si>
    <t>893883486</t>
  </si>
  <si>
    <t>RJ47 .C46</t>
  </si>
  <si>
    <t>0                      RJ 0047000C  46</t>
  </si>
  <si>
    <t>The Chronically ill child and his family / edited by Matthew Debuskey, assistant editor: Robert H. Dombro. With a foreword by Robert E. Cooke. Illus. by Aaron Sopher.</t>
  </si>
  <si>
    <t>Springfield, Ill. : Thomas, [1970]</t>
  </si>
  <si>
    <t>1993-05-03</t>
  </si>
  <si>
    <t>1992-03-16</t>
  </si>
  <si>
    <t>1302190:eng</t>
  </si>
  <si>
    <t>91499</t>
  </si>
  <si>
    <t>991000546359702656</t>
  </si>
  <si>
    <t>2264644680002656</t>
  </si>
  <si>
    <t>32285001021194</t>
  </si>
  <si>
    <t>893784320</t>
  </si>
  <si>
    <t>RJ47.3 .G556 2006</t>
  </si>
  <si>
    <t>0                      RJ 0047300G  556         2006</t>
  </si>
  <si>
    <t>Choosing children : genes, disability, and design / Jonathan Glover.</t>
  </si>
  <si>
    <t>Glover, Jonathan.</t>
  </si>
  <si>
    <t>Oxford : Clarendon Press ; Oxford ; New York : Oxford University Press, c2006</t>
  </si>
  <si>
    <t>2006</t>
  </si>
  <si>
    <t>Uehiro series in practical ethics</t>
  </si>
  <si>
    <t>2008-05-21</t>
  </si>
  <si>
    <t>2008-03-17</t>
  </si>
  <si>
    <t>801168267:eng</t>
  </si>
  <si>
    <t>62118380</t>
  </si>
  <si>
    <t>991005193329702656</t>
  </si>
  <si>
    <t>2260409190002656</t>
  </si>
  <si>
    <t>9780199238491</t>
  </si>
  <si>
    <t>32285005397129</t>
  </si>
  <si>
    <t>893613279</t>
  </si>
  <si>
    <t>RJ47.5 .B58</t>
  </si>
  <si>
    <t>0                      RJ 0047500B  58</t>
  </si>
  <si>
    <t>The private worlds of dying children / Myra Bluebond-Langner.</t>
  </si>
  <si>
    <t>Bluebond-Langner, Myra, 1948-</t>
  </si>
  <si>
    <t>Princeton, N.J. : Princeton University Press, c1978.</t>
  </si>
  <si>
    <t>1998-03-03</t>
  </si>
  <si>
    <t>1992-03-01</t>
  </si>
  <si>
    <t>441019:eng</t>
  </si>
  <si>
    <t>3480475</t>
  </si>
  <si>
    <t>991005265089702656</t>
  </si>
  <si>
    <t>2264859450002656</t>
  </si>
  <si>
    <t>9780691093741</t>
  </si>
  <si>
    <t>32285000979574</t>
  </si>
  <si>
    <t>893896153</t>
  </si>
  <si>
    <t>RJ47.5 .C37</t>
  </si>
  <si>
    <t>0                      RJ 0047500C  37</t>
  </si>
  <si>
    <t>Care of the child facing death / edited by Lindy Burton ; foreword by I. J. Carré.</t>
  </si>
  <si>
    <t>London ; Boston : Routledge and Kegan Paul, 1974.</t>
  </si>
  <si>
    <t>2006-11-14</t>
  </si>
  <si>
    <t>1993-03-17</t>
  </si>
  <si>
    <t>346934743:eng</t>
  </si>
  <si>
    <t>1256191</t>
  </si>
  <si>
    <t>991003652689702656</t>
  </si>
  <si>
    <t>2258244510002656</t>
  </si>
  <si>
    <t>9780710078636</t>
  </si>
  <si>
    <t>32285001573913</t>
  </si>
  <si>
    <t>893868677</t>
  </si>
  <si>
    <t>RJ47.5 .C44</t>
  </si>
  <si>
    <t>0                      RJ 0047500C  44</t>
  </si>
  <si>
    <t>The Child and death / edited by Olle Jane Z. Sahler.</t>
  </si>
  <si>
    <t>St. Louis : Mosby, 1978.</t>
  </si>
  <si>
    <t>1997-12-03</t>
  </si>
  <si>
    <t>1999-10-05</t>
  </si>
  <si>
    <t>1994-12-21</t>
  </si>
  <si>
    <t>54228320:eng</t>
  </si>
  <si>
    <t>4003510</t>
  </si>
  <si>
    <t>991001757859702656</t>
  </si>
  <si>
    <t>2267746900002656</t>
  </si>
  <si>
    <t>9780801642883</t>
  </si>
  <si>
    <t>32285001778710</t>
  </si>
  <si>
    <t>893697008</t>
  </si>
  <si>
    <t>RJ47.5 .C67 1983</t>
  </si>
  <si>
    <t>0                      RJ 0047500C  67          1983</t>
  </si>
  <si>
    <t>Coping with pediatric illness / edited by Charles E. Hollingsworth.</t>
  </si>
  <si>
    <t>New York : SP Medical &amp; Scientific Books, c1983.</t>
  </si>
  <si>
    <t>1996-09-21</t>
  </si>
  <si>
    <t>54516631:eng</t>
  </si>
  <si>
    <t>8708090</t>
  </si>
  <si>
    <t>991000054209702656</t>
  </si>
  <si>
    <t>2255664780002656</t>
  </si>
  <si>
    <t>9780893351571</t>
  </si>
  <si>
    <t>32285001045060</t>
  </si>
  <si>
    <t>893589085</t>
  </si>
  <si>
    <t>RJ47.5 .D95 1988</t>
  </si>
  <si>
    <t>0                      RJ 0047500D  95          1988</t>
  </si>
  <si>
    <t>Dying and disabled children : dealing with loss and grief / Harold M. Dick ... [et al.], editors.</t>
  </si>
  <si>
    <t>New York : Haworth Press, c1988.</t>
  </si>
  <si>
    <t>1995-11-30</t>
  </si>
  <si>
    <t>1990-06-18</t>
  </si>
  <si>
    <t>836880384:eng</t>
  </si>
  <si>
    <t>17951321</t>
  </si>
  <si>
    <t>991001283349702656</t>
  </si>
  <si>
    <t>2271104930002656</t>
  </si>
  <si>
    <t>9780866567596</t>
  </si>
  <si>
    <t>32285000177674</t>
  </si>
  <si>
    <t>893614951</t>
  </si>
  <si>
    <t>RJ47.5 .E37 1985</t>
  </si>
  <si>
    <t>0                      RJ 0047500E  37          1985</t>
  </si>
  <si>
    <t>The psychology of childhood illness / Christine Eiser.</t>
  </si>
  <si>
    <t>Eiser, Christine.</t>
  </si>
  <si>
    <t>New York : Springer-Verlag, c1985.</t>
  </si>
  <si>
    <t>Contributions to psychology and medicine</t>
  </si>
  <si>
    <t>1996-10-21</t>
  </si>
  <si>
    <t>1992-02-20</t>
  </si>
  <si>
    <t>3869236:eng</t>
  </si>
  <si>
    <t>11370157</t>
  </si>
  <si>
    <t>991001785199702656</t>
  </si>
  <si>
    <t>2260159890002656</t>
  </si>
  <si>
    <t>9780387960968</t>
  </si>
  <si>
    <t>32285000948330</t>
  </si>
  <si>
    <t>893803896</t>
  </si>
  <si>
    <t>RJ47.5 .G97</t>
  </si>
  <si>
    <t>0                      RJ 0047500G  97</t>
  </si>
  <si>
    <t>The dying child / Jo-Eileen Gyulay.</t>
  </si>
  <si>
    <t>Gyulay, Jo-Eileen.</t>
  </si>
  <si>
    <t>New York : McGraw-Hill, c1978.</t>
  </si>
  <si>
    <t>1991-12-09</t>
  </si>
  <si>
    <t>8319231:eng</t>
  </si>
  <si>
    <t>3202905</t>
  </si>
  <si>
    <t>991001787789702656</t>
  </si>
  <si>
    <t>2270558450002656</t>
  </si>
  <si>
    <t>9780070253605</t>
  </si>
  <si>
    <t>32285000872605</t>
  </si>
  <si>
    <t>893420625</t>
  </si>
  <si>
    <t>RJ47.5 .P3 1983</t>
  </si>
  <si>
    <t>0                      RJ 0047500P  3           1983</t>
  </si>
  <si>
    <t>Pediatric and adolescent behavioral medicine : issues in treatment / Patrick J. McGrath, Philip Firestone, editors ; foreword by Frederick J. Evans.</t>
  </si>
  <si>
    <t>New York : Springer Pub. Co., c1983.</t>
  </si>
  <si>
    <t>Springer series on behavior therapy and behavioral medicine, 0278-6729 ; v. 10</t>
  </si>
  <si>
    <t>2000-02-17</t>
  </si>
  <si>
    <t>429698310:eng</t>
  </si>
  <si>
    <t>8765047</t>
  </si>
  <si>
    <t>991000068119702656</t>
  </si>
  <si>
    <t>2267854620002656</t>
  </si>
  <si>
    <t>9780826140104</t>
  </si>
  <si>
    <t>32285001609600</t>
  </si>
  <si>
    <t>893790209</t>
  </si>
  <si>
    <t>RJ47.5 .P78</t>
  </si>
  <si>
    <t>0                      RJ 0047500P  78</t>
  </si>
  <si>
    <t>Psychological management of pediatric problems / edited by Phyllis R. Magrab. --</t>
  </si>
  <si>
    <t>Baltimore : University Park Press, c1978.</t>
  </si>
  <si>
    <t>1995-02-20</t>
  </si>
  <si>
    <t>1992-03-18</t>
  </si>
  <si>
    <t>2865208049:eng</t>
  </si>
  <si>
    <t>3748680</t>
  </si>
  <si>
    <t>991004508099702656</t>
  </si>
  <si>
    <t>2269287900002656</t>
  </si>
  <si>
    <t>9780839112181</t>
  </si>
  <si>
    <t>32285000948355</t>
  </si>
  <si>
    <t>893235589</t>
  </si>
  <si>
    <t>V.2</t>
  </si>
  <si>
    <t>32285001013845</t>
  </si>
  <si>
    <t>893263306</t>
  </si>
  <si>
    <t>RJ47.5 .P785</t>
  </si>
  <si>
    <t>0                      RJ 0047500P  785</t>
  </si>
  <si>
    <t>Psychosocial aspects of pediatric care / edited by Elizabeth Gellert.</t>
  </si>
  <si>
    <t>New York : Grune &amp; Stratton, c1978.</t>
  </si>
  <si>
    <t>1997-02-16</t>
  </si>
  <si>
    <t>13629648:eng</t>
  </si>
  <si>
    <t>4004475</t>
  </si>
  <si>
    <t>991004565659702656</t>
  </si>
  <si>
    <t>2264939340002656</t>
  </si>
  <si>
    <t>9780808910916</t>
  </si>
  <si>
    <t>32285001609618</t>
  </si>
  <si>
    <t>893606190</t>
  </si>
  <si>
    <t>RJ47.53 .S457 1998</t>
  </si>
  <si>
    <t>0                      RJ 0047530S  457         1998</t>
  </si>
  <si>
    <t>Adolescents' health : a developmental perspective / Inge Seiffge-Krenke.</t>
  </si>
  <si>
    <t>Seiffge-Krenke, Inge.</t>
  </si>
  <si>
    <t>Mahwah, N.J. : Lawrence Erlbaum Associates, 1998.</t>
  </si>
  <si>
    <t>1998</t>
  </si>
  <si>
    <t>1998-10-01</t>
  </si>
  <si>
    <t>1998-08-31</t>
  </si>
  <si>
    <t>837018705:eng</t>
  </si>
  <si>
    <t>37884822</t>
  </si>
  <si>
    <t>991002875019702656</t>
  </si>
  <si>
    <t>2267138330002656</t>
  </si>
  <si>
    <t>9780805818390</t>
  </si>
  <si>
    <t>32285003463915</t>
  </si>
  <si>
    <t>893348033</t>
  </si>
  <si>
    <t>RJ482.D9 T68 1983</t>
  </si>
  <si>
    <t>0                      RJ 0482000D  9                  T  68          1983</t>
  </si>
  <si>
    <t>Gene expression in muscle / edited by Richard C. Strohman and Stewart Wolf.</t>
  </si>
  <si>
    <t>Totts Gap Colloquium on Gene Expression in Muscle (1983 : Bangor, Pa.)</t>
  </si>
  <si>
    <t>New York : Plenum Press, c1985.</t>
  </si>
  <si>
    <t>Advances in experimental medicine and biology ; v. 182</t>
  </si>
  <si>
    <t>2008-02-24</t>
  </si>
  <si>
    <t>477193346:eng</t>
  </si>
  <si>
    <t>11532308</t>
  </si>
  <si>
    <t>991000549499702656</t>
  </si>
  <si>
    <t>2261443650002656</t>
  </si>
  <si>
    <t>9780306418945</t>
  </si>
  <si>
    <t>32285001528669</t>
  </si>
  <si>
    <t>893778023</t>
  </si>
  <si>
    <t>RJ486 .A96</t>
  </si>
  <si>
    <t>0                      RJ 0486000A  96</t>
  </si>
  <si>
    <t>Sensory integration and learning disorders / by A. Jean Ayres.</t>
  </si>
  <si>
    <t>Ayres, A. Jean.</t>
  </si>
  <si>
    <t>Los Angeles, Calif. : Western Psychological Services, [c1972]</t>
  </si>
  <si>
    <t>2009-03-23</t>
  </si>
  <si>
    <t>1990-04-25</t>
  </si>
  <si>
    <t>63730:eng</t>
  </si>
  <si>
    <t>590960</t>
  </si>
  <si>
    <t>991003027389702656</t>
  </si>
  <si>
    <t>2265603450002656</t>
  </si>
  <si>
    <t>9780874243031</t>
  </si>
  <si>
    <t>32285000119270</t>
  </si>
  <si>
    <t>893233742</t>
  </si>
  <si>
    <t>RJ486 .P73 1982</t>
  </si>
  <si>
    <t>0                      RJ 0486000P  73          1982</t>
  </si>
  <si>
    <t>Care of the neurologically handicapped child : a book for parents and professionals / Arthur L. Prensky, Helen Stein Palkes ; with contributions by Suzanne Busch ... [et al.].</t>
  </si>
  <si>
    <t>Prensky, Arthur L.</t>
  </si>
  <si>
    <t>New York : Oxford University Press, 1982.</t>
  </si>
  <si>
    <t>2001-02-27</t>
  </si>
  <si>
    <t>299166180:eng</t>
  </si>
  <si>
    <t>7276800</t>
  </si>
  <si>
    <t>991005097809702656</t>
  </si>
  <si>
    <t>2263458530002656</t>
  </si>
  <si>
    <t>9780195029178</t>
  </si>
  <si>
    <t>32285001528693</t>
  </si>
  <si>
    <t>893613114</t>
  </si>
  <si>
    <t>RJ488.5.E93 S48</t>
  </si>
  <si>
    <t>0                      RJ 0488500E  93                 S  48</t>
  </si>
  <si>
    <t>Sensory integration in children : evoked potentials and intersensory functions in pediatrics and psychology / by Thorne Shipley.</t>
  </si>
  <si>
    <t>Shipley, Thorne.</t>
  </si>
  <si>
    <t>Springfield, Ill. : Thomas, c1979.</t>
  </si>
  <si>
    <t>292662787:eng</t>
  </si>
  <si>
    <t>4495068</t>
  </si>
  <si>
    <t>991004655119702656</t>
  </si>
  <si>
    <t>2268047000002656</t>
  </si>
  <si>
    <t>9780398038694</t>
  </si>
  <si>
    <t>32285001528727</t>
  </si>
  <si>
    <t>893229666</t>
  </si>
  <si>
    <t>RJ496.A5 D97 1981</t>
  </si>
  <si>
    <t>0                      RJ 0496000A  5                  D  97          1981</t>
  </si>
  <si>
    <t>The Dyslexic child / [by Drake D. Duane and Paula Dozier Rome].</t>
  </si>
  <si>
    <t>New York : Insight Pub. Co., c1981.</t>
  </si>
  <si>
    <t>2001-03-19</t>
  </si>
  <si>
    <t>426205329:eng</t>
  </si>
  <si>
    <t>7943053</t>
  </si>
  <si>
    <t>991005179569702656</t>
  </si>
  <si>
    <t>2271965990002656</t>
  </si>
  <si>
    <t>32285000843416</t>
  </si>
  <si>
    <t>893332543</t>
  </si>
  <si>
    <t>RJ496.A5 E93</t>
  </si>
  <si>
    <t>0                      RJ 0496000A  5                  E  93</t>
  </si>
  <si>
    <t>Dyslexia : an annotated bibliography / Martha M. Evans.</t>
  </si>
  <si>
    <t>Evans, Martha M.</t>
  </si>
  <si>
    <t>Westport, Conn. : Greenwood Press, c1982.</t>
  </si>
  <si>
    <t>Contemporary problems of childhood, 0147-1082 ; no. 5</t>
  </si>
  <si>
    <t>1996-10-15</t>
  </si>
  <si>
    <t>1991-11-06</t>
  </si>
  <si>
    <t>435813182:eng</t>
  </si>
  <si>
    <t>8110575</t>
  </si>
  <si>
    <t>991005203859702656</t>
  </si>
  <si>
    <t>2255913580002656</t>
  </si>
  <si>
    <t>9780313213441</t>
  </si>
  <si>
    <t>32285000798321</t>
  </si>
  <si>
    <t>893801907</t>
  </si>
  <si>
    <t>RJ496.A5 G65</t>
  </si>
  <si>
    <t>0                      RJ 0496000A  5                  G  65</t>
  </si>
  <si>
    <t>Dyslexia : problems of reading disabilities / by Herman K. Goldberg and Gilbert B. Schiffman.</t>
  </si>
  <si>
    <t>Goldberg, Herman K.</t>
  </si>
  <si>
    <t>New York : Grune &amp; Stratton, [1972]</t>
  </si>
  <si>
    <t>1996-02-22</t>
  </si>
  <si>
    <t>1990-04-12</t>
  </si>
  <si>
    <t>1475510:eng</t>
  </si>
  <si>
    <t>415476</t>
  </si>
  <si>
    <t>991002729659702656</t>
  </si>
  <si>
    <t>2266956880002656</t>
  </si>
  <si>
    <t>9780808907848</t>
  </si>
  <si>
    <t>32285000115245</t>
  </si>
  <si>
    <t>893792839</t>
  </si>
  <si>
    <t>RJ496.A5 K5813</t>
  </si>
  <si>
    <t>0                      RJ 0496000A  5                  K  5813</t>
  </si>
  <si>
    <t>The syndrome of specific dyslexia : with special consideration of its physiological, psychological, testpsychological, and social correlates.</t>
  </si>
  <si>
    <t>Klasen, Edith.</t>
  </si>
  <si>
    <t>Baltimore : University Park Press, [1972]</t>
  </si>
  <si>
    <t>1996-02-26</t>
  </si>
  <si>
    <t>1990-10-15</t>
  </si>
  <si>
    <t>1150998104:eng</t>
  </si>
  <si>
    <t>320026</t>
  </si>
  <si>
    <t>991002315089702656</t>
  </si>
  <si>
    <t>2258855180002656</t>
  </si>
  <si>
    <t>9780839107040</t>
  </si>
  <si>
    <t>32285000347699</t>
  </si>
  <si>
    <t>893809420</t>
  </si>
  <si>
    <t>RJ496.A5 M67</t>
  </si>
  <si>
    <t>0                      RJ 0496000A  5                  M  67</t>
  </si>
  <si>
    <t>The complete handbook of children's reading disorders : a critical evaluation of their clinical, educational, and social dimensions / Hilde L. Mosse.</t>
  </si>
  <si>
    <t>Mosse, Hilde L.</t>
  </si>
  <si>
    <t>New York : Human Sciences Press, c1982.</t>
  </si>
  <si>
    <t>2288698257:eng</t>
  </si>
  <si>
    <t>7248492</t>
  </si>
  <si>
    <t>991005092879702656</t>
  </si>
  <si>
    <t>2267753290002656</t>
  </si>
  <si>
    <t>9780898850215</t>
  </si>
  <si>
    <t>32285001528743</t>
  </si>
  <si>
    <t>893688583</t>
  </si>
  <si>
    <t>1995-04-30</t>
  </si>
  <si>
    <t>32285001528735</t>
  </si>
  <si>
    <t>893713433</t>
  </si>
  <si>
    <t>RJ496.A5 N37 1977</t>
  </si>
  <si>
    <t>0                      RJ 0496000A  5                  N  37          1977</t>
  </si>
  <si>
    <t>Dyslexia : an appraisal of current knowledge / edited by Arthur L. Benton, David Pearl.</t>
  </si>
  <si>
    <t>National Institute of Mental Health Conference on Dyslexia (1977)</t>
  </si>
  <si>
    <t>New York : Oxford University Press, 1978.</t>
  </si>
  <si>
    <t>1998-11-13</t>
  </si>
  <si>
    <t>11115141:eng</t>
  </si>
  <si>
    <t>3730375</t>
  </si>
  <si>
    <t>991004504149702656</t>
  </si>
  <si>
    <t>2268839330002656</t>
  </si>
  <si>
    <t>9780195023848</t>
  </si>
  <si>
    <t>32285000191691</t>
  </si>
  <si>
    <t>893895070</t>
  </si>
  <si>
    <t>RJ496.A5 P35</t>
  </si>
  <si>
    <t>0                      RJ 0496000A  5                  P  35</t>
  </si>
  <si>
    <t>Dyslexia and reading disabilities : papers / by Richmond Paine, Helmer Myklebust, Deso Weiss ... [et al.].</t>
  </si>
  <si>
    <t>Paine, Richmond S. (Richmond Shepard), 1920-1969.</t>
  </si>
  <si>
    <t>New York : MSS Information Corp., [1972]</t>
  </si>
  <si>
    <t>4021176223:eng</t>
  </si>
  <si>
    <t>363755</t>
  </si>
  <si>
    <t>991002495549702656</t>
  </si>
  <si>
    <t>2264253910002656</t>
  </si>
  <si>
    <t>9780842270052</t>
  </si>
  <si>
    <t>32285000347715</t>
  </si>
  <si>
    <t>893786222</t>
  </si>
  <si>
    <t>RJ496.A5 S49 1986</t>
  </si>
  <si>
    <t>0                      RJ 0496000A  5                  S  49          1986</t>
  </si>
  <si>
    <t>Cognitive analysis of dyslexia / Philip H.K. Seymour.</t>
  </si>
  <si>
    <t>Seymour, Philip H. K. (Philip Herschel Kean), 1938-</t>
  </si>
  <si>
    <t>London ; New York : Routledge &amp; Kegan Paul, 1986.</t>
  </si>
  <si>
    <t>International library of psychology</t>
  </si>
  <si>
    <t>5844754:eng</t>
  </si>
  <si>
    <t>13094415</t>
  </si>
  <si>
    <t>991000779869702656</t>
  </si>
  <si>
    <t>2271974770002656</t>
  </si>
  <si>
    <t>9780710098412</t>
  </si>
  <si>
    <t>32285000191709</t>
  </si>
  <si>
    <t>893522008</t>
  </si>
  <si>
    <t>RJ496.A5 W67 1974</t>
  </si>
  <si>
    <t>0                      RJ 0496000A  5                  W  67          1974</t>
  </si>
  <si>
    <t>Reading, perception, and language : papers from the World Congress on Dyslexia / edited by Drake D. Duane and Margaret B. Rawson ; sponsored by the Orton Society in cooperation with the Mayo Clinic.</t>
  </si>
  <si>
    <t>World Congress on Dyslexia (1st : 1974 : Mayo Clinic)</t>
  </si>
  <si>
    <t>Baltimore : York Press, [1975]</t>
  </si>
  <si>
    <t>2009-07-28</t>
  </si>
  <si>
    <t>1992-04-24</t>
  </si>
  <si>
    <t>2406699:eng</t>
  </si>
  <si>
    <t>1532016</t>
  </si>
  <si>
    <t>991003808599702656</t>
  </si>
  <si>
    <t>2272166960002656</t>
  </si>
  <si>
    <t>9780912752075</t>
  </si>
  <si>
    <t>32285001086312</t>
  </si>
  <si>
    <t>893429247</t>
  </si>
  <si>
    <t>RJ496.A6 E57</t>
  </si>
  <si>
    <t>0                      RJ 0496000A  6                  E  57</t>
  </si>
  <si>
    <t>Aphasia in children.</t>
  </si>
  <si>
    <t>Eisenson, Jon, 1907-2001.</t>
  </si>
  <si>
    <t>New York : Harper &amp; Row, [1972]</t>
  </si>
  <si>
    <t>1994-04-26</t>
  </si>
  <si>
    <t>3145310291:eng</t>
  </si>
  <si>
    <t>267802</t>
  </si>
  <si>
    <t>991005266199702656</t>
  </si>
  <si>
    <t>2270668830002656</t>
  </si>
  <si>
    <t>9780060418816</t>
  </si>
  <si>
    <t>32285000347731</t>
  </si>
  <si>
    <t>893254743</t>
  </si>
  <si>
    <t>RJ496.A86 A88 1985</t>
  </si>
  <si>
    <t>0                      RJ 0496000A  86                 A  88          1985</t>
  </si>
  <si>
    <t>Attention deficit disorder : identification, course, and rationale / edited by Lewis M. Bloomingdale.</t>
  </si>
  <si>
    <t>New York : SP Medical &amp; Scientific Books, c1985.</t>
  </si>
  <si>
    <t>2001-11-25</t>
  </si>
  <si>
    <t>509878378:eng</t>
  </si>
  <si>
    <t>11370001</t>
  </si>
  <si>
    <t>991000525009702656</t>
  </si>
  <si>
    <t>2260012070002656</t>
  </si>
  <si>
    <t>9780893352196</t>
  </si>
  <si>
    <t>32285000191717</t>
  </si>
  <si>
    <t>893225064</t>
  </si>
  <si>
    <t>RJ496.A86 K57 1986</t>
  </si>
  <si>
    <t>0                      RJ 0496000A  86                 K  57          1986</t>
  </si>
  <si>
    <t>Understanding and treating attention deficit disorder / Edward A. Kirby, Liam K. Grimley.</t>
  </si>
  <si>
    <t>Kirby, Edward A.</t>
  </si>
  <si>
    <t>New York : Pergamon Press, 1986.</t>
  </si>
  <si>
    <t>2001-12-02</t>
  </si>
  <si>
    <t>4417308418:eng</t>
  </si>
  <si>
    <t>13328427</t>
  </si>
  <si>
    <t>991000808709702656</t>
  </si>
  <si>
    <t>2258495240002656</t>
  </si>
  <si>
    <t>9780080331331</t>
  </si>
  <si>
    <t>32285000885219</t>
  </si>
  <si>
    <t>893626455</t>
  </si>
  <si>
    <t>RJ496.A86 N53 1984</t>
  </si>
  <si>
    <t>0                      RJ 0496000A  86                 N  53          1984</t>
  </si>
  <si>
    <t>A new look at attention deficit disorder : a problem not outgrown - but treatable / Samuel J. Nichamin and James Windell.</t>
  </si>
  <si>
    <t>Nichamin, Samuel J.</t>
  </si>
  <si>
    <t>Waterford, Mich. : Minerva Press, c1984.</t>
  </si>
  <si>
    <t>1992-07-22</t>
  </si>
  <si>
    <t>10035585:eng</t>
  </si>
  <si>
    <t>15465830</t>
  </si>
  <si>
    <t>991001025279702656</t>
  </si>
  <si>
    <t>2271151190002656</t>
  </si>
  <si>
    <t>32285001159903</t>
  </si>
  <si>
    <t>893249906</t>
  </si>
  <si>
    <t>RJ496.B7 D48 1983</t>
  </si>
  <si>
    <t>0                      RJ 0496000B  7                  D  48          1983</t>
  </si>
  <si>
    <t>Developmental neuropsychiatry / edited by Michael Rutter.</t>
  </si>
  <si>
    <t>New York : Guilford Press, c1983.</t>
  </si>
  <si>
    <t>1998-03-30</t>
  </si>
  <si>
    <t>54558384:eng</t>
  </si>
  <si>
    <t>9281598</t>
  </si>
  <si>
    <t>991000163119702656</t>
  </si>
  <si>
    <t>2260340570002656</t>
  </si>
  <si>
    <t>9780898626216</t>
  </si>
  <si>
    <t>32285000218965</t>
  </si>
  <si>
    <t>893320873</t>
  </si>
  <si>
    <t>RJ496.B7 S45 1993</t>
  </si>
  <si>
    <t>0                      RJ 0496000B  7                  S  45          1993</t>
  </si>
  <si>
    <t>Pediatric brain injury : a practical resource / Carole Wedel Sellars and Candace Hill Vegter ; illustrations drawn under contract by Annette Flaig.</t>
  </si>
  <si>
    <t>Sellars, Carole Wedel.</t>
  </si>
  <si>
    <t>Tucson, Ariz. : Communication Skill Builders, c1993.</t>
  </si>
  <si>
    <t>azu</t>
  </si>
  <si>
    <t>2001-02-26</t>
  </si>
  <si>
    <t>2000-03-28</t>
  </si>
  <si>
    <t>292466281:eng</t>
  </si>
  <si>
    <t>29263947</t>
  </si>
  <si>
    <t>991002259179702656</t>
  </si>
  <si>
    <t>2261499250002656</t>
  </si>
  <si>
    <t>9780884506430</t>
  </si>
  <si>
    <t>32285003674230</t>
  </si>
  <si>
    <t>893622079</t>
  </si>
  <si>
    <t>RJ496.C4 C56 1983</t>
  </si>
  <si>
    <t>0                      RJ 0496000C  4                  C  56          1983</t>
  </si>
  <si>
    <t>Comprehensive management of cerebral palsy / edited by George H. Thompson, Isadore Leslie Rubin, Robert M. Bilenker.</t>
  </si>
  <si>
    <t>New York : Grune &amp; Stratton, 1983.</t>
  </si>
  <si>
    <t>2002-10-31</t>
  </si>
  <si>
    <t>1991-11-25</t>
  </si>
  <si>
    <t>43257000:eng</t>
  </si>
  <si>
    <t>8846560</t>
  </si>
  <si>
    <t>991000083789702656</t>
  </si>
  <si>
    <t>2256064860002656</t>
  </si>
  <si>
    <t>9780808915041</t>
  </si>
  <si>
    <t>32285000843390</t>
  </si>
  <si>
    <t>893865072</t>
  </si>
  <si>
    <t>RJ496.C4 E74 1994</t>
  </si>
  <si>
    <t>0                      RJ 0496000C  4                  E  74          1994</t>
  </si>
  <si>
    <t>Developmental hand dysfunction : theory, assessment, and treatment / Rhoda P. Erhardt ; illustrations by Gary Baune.</t>
  </si>
  <si>
    <t>Erhardt, Rhoda Priest.</t>
  </si>
  <si>
    <t>Tuscon, Ariz. : Therapy Skill Builders, c1994.</t>
  </si>
  <si>
    <t>1994</t>
  </si>
  <si>
    <t>2002-03-05</t>
  </si>
  <si>
    <t>22866700:eng</t>
  </si>
  <si>
    <t>31712304</t>
  </si>
  <si>
    <t>991002432759702656</t>
  </si>
  <si>
    <t>2256084590002656</t>
  </si>
  <si>
    <t>9780761643135</t>
  </si>
  <si>
    <t>32285003674271</t>
  </si>
  <si>
    <t>893421356</t>
  </si>
  <si>
    <t>RJ496.C4 I78</t>
  </si>
  <si>
    <t>0                      RJ 0496000C  4                  I  78</t>
  </si>
  <si>
    <t>Communication variables of cerebral palsied and mentally retarded children / by Orvis C. Irwin. With a foreword by Dorothea McCarthy.</t>
  </si>
  <si>
    <t>Irwin, Orvis C. (Orvis Carl), 1891-</t>
  </si>
  <si>
    <t>Springfield, Ill., C. C. Thomas [1972]</t>
  </si>
  <si>
    <t>2000-02-27</t>
  </si>
  <si>
    <t>1399827:eng</t>
  </si>
  <si>
    <t>320663</t>
  </si>
  <si>
    <t>991002324069702656</t>
  </si>
  <si>
    <t>2255774640002656</t>
  </si>
  <si>
    <t>9780398023225</t>
  </si>
  <si>
    <t>32285000847060</t>
  </si>
  <si>
    <t>893697639</t>
  </si>
  <si>
    <t>RJ496.C4 M28</t>
  </si>
  <si>
    <t>0                      RJ 0496000C  4                  M  28</t>
  </si>
  <si>
    <t>Cerebral palsied and learning disabled children; a handbook/guide to treatment, rehabilitation, and education, by Nancy C. Marks. With a foreword by Homer Paschall.</t>
  </si>
  <si>
    <t>Marks, Nancy C.</t>
  </si>
  <si>
    <t>219474:eng</t>
  </si>
  <si>
    <t>628374</t>
  </si>
  <si>
    <t>991003075529702656</t>
  </si>
  <si>
    <t>2269490830002656</t>
  </si>
  <si>
    <t>9780398029111</t>
  </si>
  <si>
    <t>32285000847078</t>
  </si>
  <si>
    <t>893610693</t>
  </si>
  <si>
    <t>RJ496.C4 M4</t>
  </si>
  <si>
    <t>0                      RJ 0496000C  4                  M  4</t>
  </si>
  <si>
    <t>Communication training in childhood brain damage, compiled and edited by Merlin J. Mecham [and others]</t>
  </si>
  <si>
    <t>Mecham, Merlin J., editor.</t>
  </si>
  <si>
    <t>Springfield, Ill., C. C. Thomas [1966]</t>
  </si>
  <si>
    <t>1966</t>
  </si>
  <si>
    <t>American lecture series ; publication no. 660</t>
  </si>
  <si>
    <t>1994-04-24</t>
  </si>
  <si>
    <t>1991-12-12</t>
  </si>
  <si>
    <t>1437874:eng</t>
  </si>
  <si>
    <t>407130</t>
  </si>
  <si>
    <t>991005253329702656</t>
  </si>
  <si>
    <t>2261631120002656</t>
  </si>
  <si>
    <t>32285000878081</t>
  </si>
  <si>
    <t>893720073</t>
  </si>
  <si>
    <t>RJ496.C67 H4</t>
  </si>
  <si>
    <t>0                      RJ 0496000C  67                 H  4</t>
  </si>
  <si>
    <t>Programmed lessons for young language-disabled children : a handbook for therapists, educators, and parents / by Bernice E. Heasley and Jacqueline R. Grosklos ; with a foreword by Katharine G. Butler ; ill. by Vicky Heasley.</t>
  </si>
  <si>
    <t>Heasley, Bernice E.</t>
  </si>
  <si>
    <t>Springfield, Ill. : Thomas, c1976.</t>
  </si>
  <si>
    <t>1992-03-11</t>
  </si>
  <si>
    <t>471722:eng</t>
  </si>
  <si>
    <t>1858400</t>
  </si>
  <si>
    <t>991003914829702656</t>
  </si>
  <si>
    <t>2266928750002656</t>
  </si>
  <si>
    <t>9780398035266</t>
  </si>
  <si>
    <t>32285000996347</t>
  </si>
  <si>
    <t>893531768</t>
  </si>
  <si>
    <t>RJ496.C67 W4</t>
  </si>
  <si>
    <t>0                      RJ 0496000C  67                 W  4</t>
  </si>
  <si>
    <t>Communicative disorders : a handbook for prevention and early intervention / Curtis E. Weiss, Herold S. Lillywhite.</t>
  </si>
  <si>
    <t>Weiss, Curtis E., 1936-</t>
  </si>
  <si>
    <t>1998-12-05</t>
  </si>
  <si>
    <t>1995-05-01</t>
  </si>
  <si>
    <t>291673546:eng</t>
  </si>
  <si>
    <t>2048218</t>
  </si>
  <si>
    <t>991003991999702656</t>
  </si>
  <si>
    <t>2269350530002656</t>
  </si>
  <si>
    <t>9780801653865</t>
  </si>
  <si>
    <t>32285002020930</t>
  </si>
  <si>
    <t>893417085</t>
  </si>
  <si>
    <t>RJ496.C67 W4 1981</t>
  </si>
  <si>
    <t>0                      RJ 0496000C  67                 W  4           1981</t>
  </si>
  <si>
    <t>Communicative disorders : prevention and early intervention / Curtis E. Weiss, Herold S. Lillywhite.</t>
  </si>
  <si>
    <t>St. Louis : C. V. Mosby Co., 1981.</t>
  </si>
  <si>
    <t>2003-07-29</t>
  </si>
  <si>
    <t>6981807</t>
  </si>
  <si>
    <t>991005067559702656</t>
  </si>
  <si>
    <t>2272728510002656</t>
  </si>
  <si>
    <t>9780801653896</t>
  </si>
  <si>
    <t>32285000982859</t>
  </si>
  <si>
    <t>893430793</t>
  </si>
  <si>
    <t>RJ496.E6 C46</t>
  </si>
  <si>
    <t>0                      RJ 0496000E  6                  C  46</t>
  </si>
  <si>
    <t>Childhood epilepsy : a pediatric-psychiatric approach / Roland Bouchard ... [et al.] ; commentary by Leon Kreisler ; pref. by Serge Lebovici ; translated by Joyce Diamanti.</t>
  </si>
  <si>
    <t>New York : International Universities Press, c1977.</t>
  </si>
  <si>
    <t>2004-09-29</t>
  </si>
  <si>
    <t>489197:eng</t>
  </si>
  <si>
    <t>2985035</t>
  </si>
  <si>
    <t>991004308079702656</t>
  </si>
  <si>
    <t>2262062540002656</t>
  </si>
  <si>
    <t>9780823607747</t>
  </si>
  <si>
    <t>32285003093563</t>
  </si>
  <si>
    <t>893325203</t>
  </si>
  <si>
    <t>RJ496.E6 J27 1983</t>
  </si>
  <si>
    <t>0                      RJ 0496000E  6                  J  27          1983</t>
  </si>
  <si>
    <t>Does your child have epilepsy? / by James E. Jan, Robert G. Ziegler, and Giuseppe Erba.</t>
  </si>
  <si>
    <t>Jan, James E.</t>
  </si>
  <si>
    <t>1996-03-08</t>
  </si>
  <si>
    <t>1995-03-17</t>
  </si>
  <si>
    <t>5835570:eng</t>
  </si>
  <si>
    <t>8763040</t>
  </si>
  <si>
    <t>991001791109702656</t>
  </si>
  <si>
    <t>2266677580002656</t>
  </si>
  <si>
    <t>9780839117582</t>
  </si>
  <si>
    <t>32285002020450</t>
  </si>
  <si>
    <t>893346785</t>
  </si>
  <si>
    <t>RJ496.I6 R4 1970</t>
  </si>
  <si>
    <t>0                      RJ 0496000I  6                  R  4           1970</t>
  </si>
  <si>
    <t>Children's sleep / [by] Samuel Renshaw, Vernon L. Miller, and Dorothy P. Marquis.</t>
  </si>
  <si>
    <t>Renshaw, Samuel, 1892-1981.</t>
  </si>
  <si>
    <t>New York : Arno Press, 1970 [c1933]</t>
  </si>
  <si>
    <t>The Literature of cinema</t>
  </si>
  <si>
    <t>2006-02-19</t>
  </si>
  <si>
    <t>1994-11-02</t>
  </si>
  <si>
    <t>476243:eng</t>
  </si>
  <si>
    <t>117446</t>
  </si>
  <si>
    <t>991000662399702656</t>
  </si>
  <si>
    <t>2260940660002656</t>
  </si>
  <si>
    <t>9780405016318</t>
  </si>
  <si>
    <t>32285001963791</t>
  </si>
  <si>
    <t>893897100</t>
  </si>
  <si>
    <t>RJ496.L35 A87 1985</t>
  </si>
  <si>
    <t>0                      RJ 0496000L  35                 A  87          1985</t>
  </si>
  <si>
    <t>Assessment of language-learning disabled students / edited by Charlann S. Simon.</t>
  </si>
  <si>
    <t>San Diego, Calif. : College-Hill Press, c1985.</t>
  </si>
  <si>
    <t>Communication skills and classroom success</t>
  </si>
  <si>
    <t>2000-01-22</t>
  </si>
  <si>
    <t>497081852:eng</t>
  </si>
  <si>
    <t>11518735</t>
  </si>
  <si>
    <t>991000546719702656</t>
  </si>
  <si>
    <t>2269512300002656</t>
  </si>
  <si>
    <t>9780933014312</t>
  </si>
  <si>
    <t>32285001045094</t>
  </si>
  <si>
    <t>893702219</t>
  </si>
  <si>
    <t>RJ496.L35 C66 1983</t>
  </si>
  <si>
    <t>0                      RJ 0496000L  35                 C  66          1983</t>
  </si>
  <si>
    <t>Teaching language-disabled children : a communication games intervention / Susan Conant, Milton Budoff, and Barbara Hecht.</t>
  </si>
  <si>
    <t>Conant, Susan, 1946-</t>
  </si>
  <si>
    <t>Cambridge, MA : Brookline Books, c1983.</t>
  </si>
  <si>
    <t>1998-03-28</t>
  </si>
  <si>
    <t>1992-04-26</t>
  </si>
  <si>
    <t>252242595:eng</t>
  </si>
  <si>
    <t>10301013</t>
  </si>
  <si>
    <t>991000350229702656</t>
  </si>
  <si>
    <t>2269951060002656</t>
  </si>
  <si>
    <t>9780914797043</t>
  </si>
  <si>
    <t>32285001087211</t>
  </si>
  <si>
    <t>893601674</t>
  </si>
  <si>
    <t>RJ496.L35 L34 1988</t>
  </si>
  <si>
    <t>0                      RJ 0496000L  35                 L  34          1988</t>
  </si>
  <si>
    <t>Language disorders and language development / Margaret Lahey.</t>
  </si>
  <si>
    <t>Lahey, Margaret.</t>
  </si>
  <si>
    <t>New York : Macmillan, c1988.</t>
  </si>
  <si>
    <t>2008-09-29</t>
  </si>
  <si>
    <t>1990-07-18</t>
  </si>
  <si>
    <t>3888751366:eng</t>
  </si>
  <si>
    <t>16466901</t>
  </si>
  <si>
    <t>991001110479702656</t>
  </si>
  <si>
    <t>2270875710002656</t>
  </si>
  <si>
    <t>9780023671302</t>
  </si>
  <si>
    <t>32285000239151</t>
  </si>
  <si>
    <t>893413962</t>
  </si>
  <si>
    <t>RJ496.L35 L362 1984</t>
  </si>
  <si>
    <t>0                      RJ 0496000L  35                 L  362         1984</t>
  </si>
  <si>
    <t>Language disorders in children : recent advances / edited by Audrey L. Holland.</t>
  </si>
  <si>
    <t>San Diego, Calif. : College-Hill Press, c1984.</t>
  </si>
  <si>
    <t>Speech, language, and hearing disorders series</t>
  </si>
  <si>
    <t>1995-04-25</t>
  </si>
  <si>
    <t>54571780:eng</t>
  </si>
  <si>
    <t>9620401</t>
  </si>
  <si>
    <t>991000226589702656</t>
  </si>
  <si>
    <t>2270533240002656</t>
  </si>
  <si>
    <t>9780933014923</t>
  </si>
  <si>
    <t>32285000982867</t>
  </si>
  <si>
    <t>893224850</t>
  </si>
  <si>
    <t>RJ496.L35 R46 1984</t>
  </si>
  <si>
    <t>0                      RJ 0496000L  35                 R  46          1984</t>
  </si>
  <si>
    <t>Remediating children's language : behavioural and naturalistic approaches / edited by Dave J. Müller.</t>
  </si>
  <si>
    <t>London : Croom Helm ; San Diego [Calif.] : College-Hill Press, c1984.</t>
  </si>
  <si>
    <t>1992-04-16</t>
  </si>
  <si>
    <t>836663453:eng</t>
  </si>
  <si>
    <t>10724927</t>
  </si>
  <si>
    <t>991000416679702656</t>
  </si>
  <si>
    <t>2263337130002656</t>
  </si>
  <si>
    <t>9780933014473</t>
  </si>
  <si>
    <t>32285001070076</t>
  </si>
  <si>
    <t>893231091</t>
  </si>
  <si>
    <t>RJ496.L35 S87 1983</t>
  </si>
  <si>
    <t>0                      RJ 0496000L  35                 S  87          1983</t>
  </si>
  <si>
    <t>Language facilitation : a complete cognitive therapy program / by Jacqueline M. Cimorell Strong.</t>
  </si>
  <si>
    <t>Strong, Jacqueline M. Cimorell.</t>
  </si>
  <si>
    <t>1993-04-25</t>
  </si>
  <si>
    <t>1993-02-25</t>
  </si>
  <si>
    <t>5697921:eng</t>
  </si>
  <si>
    <t>9196389</t>
  </si>
  <si>
    <t>991000147119702656</t>
  </si>
  <si>
    <t>2268340820002656</t>
  </si>
  <si>
    <t>9780839117995</t>
  </si>
  <si>
    <t>32285001528776</t>
  </si>
  <si>
    <t>893327073</t>
  </si>
  <si>
    <t>RJ496.L35 T43 1985</t>
  </si>
  <si>
    <t>0                      RJ 0496000L  35                 T  43          1985</t>
  </si>
  <si>
    <t>Teaching functional language : generalization and maintenance of language skills / edited by Steven F. Warren, Ann K. Rogers-Warren.</t>
  </si>
  <si>
    <t>Baltimore : University Park Press, c1985.</t>
  </si>
  <si>
    <t>Language intervention series ; v. 9</t>
  </si>
  <si>
    <t>896980233:eng</t>
  </si>
  <si>
    <t>11234247</t>
  </si>
  <si>
    <t>991000509099702656</t>
  </si>
  <si>
    <t>2257764610002656</t>
  </si>
  <si>
    <t>9780839117988</t>
  </si>
  <si>
    <t>32285001528784</t>
  </si>
  <si>
    <t>893225047</t>
  </si>
  <si>
    <t>RJ496.L35 W66 1982</t>
  </si>
  <si>
    <t>0                      RJ 0496000L  35                 W  66          1982</t>
  </si>
  <si>
    <t>Language disorders in school-age children / Mary Lovey Wood.</t>
  </si>
  <si>
    <t>Wood, Mary Lovey.</t>
  </si>
  <si>
    <t>Englewood Cliffs, N.J. : Prentice-Hall, c1982.</t>
  </si>
  <si>
    <t>Remediation of communication disorders</t>
  </si>
  <si>
    <t>411378:eng</t>
  </si>
  <si>
    <t>8110790</t>
  </si>
  <si>
    <t>991005204109702656</t>
  </si>
  <si>
    <t>2255863220002656</t>
  </si>
  <si>
    <t>9780135229460</t>
  </si>
  <si>
    <t>32285000191725</t>
  </si>
  <si>
    <t>893694908</t>
  </si>
  <si>
    <t>RJ496.L4 G33 1980</t>
  </si>
  <si>
    <t>0                      RJ 0496000L  4                  G  33          1980</t>
  </si>
  <si>
    <t>Learning disabilities and brain function : a neuropsychological approach / William H. Gaddes : with a foreword by W. M. Cruickshank.</t>
  </si>
  <si>
    <t>Gaddes, William H.</t>
  </si>
  <si>
    <t>New York : Springer-Verlag, c1980.</t>
  </si>
  <si>
    <t>2005-10-03</t>
  </si>
  <si>
    <t>3848151:eng</t>
  </si>
  <si>
    <t>6142751</t>
  </si>
  <si>
    <t>991004935499702656</t>
  </si>
  <si>
    <t>2261622350002656</t>
  </si>
  <si>
    <t>32285001528800</t>
  </si>
  <si>
    <t>893443212</t>
  </si>
  <si>
    <t>RJ496.L4 G46 1986</t>
  </si>
  <si>
    <t>0                      RJ 0496000L  4                  G  46          1986</t>
  </si>
  <si>
    <t>Genetics and learning disabilities / edited by Shelley D. Smith.</t>
  </si>
  <si>
    <t>San Diego, Calif. : College-Hill Press, c1986.</t>
  </si>
  <si>
    <t>1998-04-27</t>
  </si>
  <si>
    <t>54749848:eng</t>
  </si>
  <si>
    <t>12555854</t>
  </si>
  <si>
    <t>991000704489702656</t>
  </si>
  <si>
    <t>2257821960002656</t>
  </si>
  <si>
    <t>9780887441417</t>
  </si>
  <si>
    <t>32285000088624</t>
  </si>
  <si>
    <t>893903126</t>
  </si>
  <si>
    <t>RJ496.L4 J64 1991</t>
  </si>
  <si>
    <t>0                      RJ 0496000L  4                  J  64          1991</t>
  </si>
  <si>
    <t>Attention deficits, learning disabilities, and ritalin / a practical guide / Robert B. Johnston.</t>
  </si>
  <si>
    <t>Johnston, Robert B., 1936-</t>
  </si>
  <si>
    <t>San Diego, Calif. : Singular Pub. Group, 1991.</t>
  </si>
  <si>
    <t>2002-09-22</t>
  </si>
  <si>
    <t>836725251:eng</t>
  </si>
  <si>
    <t>23462730</t>
  </si>
  <si>
    <t>991001865309702656</t>
  </si>
  <si>
    <t>2255514820002656</t>
  </si>
  <si>
    <t>9781879105126</t>
  </si>
  <si>
    <t>32285001779593</t>
  </si>
  <si>
    <t>893414560</t>
  </si>
  <si>
    <t>RJ496.L4 S6 1982</t>
  </si>
  <si>
    <t>0                      RJ 0496000L  4                  S  6           1982</t>
  </si>
  <si>
    <t>Cortical dysfunctioning in children with specific reading disability / by William S. Sobotowicz and James R. Evans.</t>
  </si>
  <si>
    <t>Sobotowicz, William S.</t>
  </si>
  <si>
    <t>Springfield, Ill. : Thomas, [1982] c1981.</t>
  </si>
  <si>
    <t>1995-02-05</t>
  </si>
  <si>
    <t>1990-07-02</t>
  </si>
  <si>
    <t>472463:eng</t>
  </si>
  <si>
    <t>7653485</t>
  </si>
  <si>
    <t>991005144699702656</t>
  </si>
  <si>
    <t>2258656310002656</t>
  </si>
  <si>
    <t>9780398045937</t>
  </si>
  <si>
    <t>32285000218973</t>
  </si>
  <si>
    <t>893776910</t>
  </si>
  <si>
    <t>RJ496.S7 A48</t>
  </si>
  <si>
    <t>0                      RJ 0496000S  7                  A  48</t>
  </si>
  <si>
    <t>Speech and hearing disorders in children [by] Jerome G. Alpiner.</t>
  </si>
  <si>
    <t>Alpiner, Jerome G., 1932-</t>
  </si>
  <si>
    <t>Boston, Houghton Mifflin [1970]</t>
  </si>
  <si>
    <t>Guidance monograph series. Series 5: Guidance and the exceptional student</t>
  </si>
  <si>
    <t>1999-04-10</t>
  </si>
  <si>
    <t>1179340:eng</t>
  </si>
  <si>
    <t>103595</t>
  </si>
  <si>
    <t>991000624389702656</t>
  </si>
  <si>
    <t>2260291300002656</t>
  </si>
  <si>
    <t>32285003093589</t>
  </si>
  <si>
    <t>893790704</t>
  </si>
  <si>
    <t>RJ496.S7 B55</t>
  </si>
  <si>
    <t>0                      RJ 0496000S  7                  B  55</t>
  </si>
  <si>
    <t>The practice of speech pathology : a clinical diary / by Robert W. Blakeley.</t>
  </si>
  <si>
    <t>Blakeley, Robert W. (Robert William), 1924-</t>
  </si>
  <si>
    <t>Springfield, Ill. : Thomas, [c1972]</t>
  </si>
  <si>
    <t>1997-05-08</t>
  </si>
  <si>
    <t>1990-12-28</t>
  </si>
  <si>
    <t>1704719:eng</t>
  </si>
  <si>
    <t>623343</t>
  </si>
  <si>
    <t>991003068099702656</t>
  </si>
  <si>
    <t>2255963600002656</t>
  </si>
  <si>
    <t>9780398025755</t>
  </si>
  <si>
    <t>32285000426675</t>
  </si>
  <si>
    <t>893899590</t>
  </si>
  <si>
    <t>RJ496.S7 C66 1984</t>
  </si>
  <si>
    <t>0                      RJ 0496000S  7                  C  66          1984</t>
  </si>
  <si>
    <t>Speech disorders in children : recent advances / edited by Janis M. Costello.</t>
  </si>
  <si>
    <t>1999-11-12</t>
  </si>
  <si>
    <t>3579238:eng</t>
  </si>
  <si>
    <t>10099317</t>
  </si>
  <si>
    <t>991000311659702656</t>
  </si>
  <si>
    <t>2265685300002656</t>
  </si>
  <si>
    <t>9780933014909</t>
  </si>
  <si>
    <t>32285000218981</t>
  </si>
  <si>
    <t>893708276</t>
  </si>
  <si>
    <t>RJ496.S7 C85 1984</t>
  </si>
  <si>
    <t>0                      RJ 0496000S  7                  C  85          1984</t>
  </si>
  <si>
    <t>Articulation disorders : a basic guide to intervention in the schools / Ted Culler.</t>
  </si>
  <si>
    <t>Culler, Ted, 1948-</t>
  </si>
  <si>
    <t>Austin, Tex. : Pro-ed, 1984.</t>
  </si>
  <si>
    <t>txu</t>
  </si>
  <si>
    <t>1992-04-06</t>
  </si>
  <si>
    <t>3990061:eng</t>
  </si>
  <si>
    <t>11376558</t>
  </si>
  <si>
    <t>991000528469702656</t>
  </si>
  <si>
    <t>2255233520002656</t>
  </si>
  <si>
    <t>9780890790786</t>
  </si>
  <si>
    <t>32285001051134</t>
  </si>
  <si>
    <t>893351563</t>
  </si>
  <si>
    <t>RJ496.S7 D53</t>
  </si>
  <si>
    <t>0                      RJ 0496000S  7                  D  53</t>
  </si>
  <si>
    <t>Articulation learning / by William M. Diedrich and Jeff Bangert.</t>
  </si>
  <si>
    <t>Diedrich, William M.</t>
  </si>
  <si>
    <t>Houston, Texas : College Hill Press, 1980.</t>
  </si>
  <si>
    <t>1995-10-17</t>
  </si>
  <si>
    <t>22532057:eng</t>
  </si>
  <si>
    <t>6487190</t>
  </si>
  <si>
    <t>991004990759702656</t>
  </si>
  <si>
    <t>2271786480002656</t>
  </si>
  <si>
    <t>9780933014596</t>
  </si>
  <si>
    <t>32285001528818</t>
  </si>
  <si>
    <t>893606674</t>
  </si>
  <si>
    <t>RJ496.S7 D63 1995b</t>
  </si>
  <si>
    <t>0                      RJ 0496000S  7                  D  63          1995b</t>
  </si>
  <si>
    <t>The differential diagnosis and treatment of children with speech disorder / Barbara Dodd.</t>
  </si>
  <si>
    <t>Dodd, Barbara.</t>
  </si>
  <si>
    <t>San Diego, Calif. : Singular Pub. Group, c1995.</t>
  </si>
  <si>
    <t>Studies in disorders of communication</t>
  </si>
  <si>
    <t>1995-03-31</t>
  </si>
  <si>
    <t>876444:eng</t>
  </si>
  <si>
    <t>31974432</t>
  </si>
  <si>
    <t>991002452949702656</t>
  </si>
  <si>
    <t>2268051940002656</t>
  </si>
  <si>
    <t>9781565933668</t>
  </si>
  <si>
    <t>32285002015500</t>
  </si>
  <si>
    <t>893251254</t>
  </si>
  <si>
    <t>RJ496.S7 G78</t>
  </si>
  <si>
    <t>0                      RJ 0496000S  7                  G  78</t>
  </si>
  <si>
    <t>The nature of phonological disability in children / Pamela Grunwell.</t>
  </si>
  <si>
    <t>Grunwell, Pamela.</t>
  </si>
  <si>
    <t>London ; New York : Academic Press, 1981.</t>
  </si>
  <si>
    <t>Applied language studies</t>
  </si>
  <si>
    <t>409083:eng</t>
  </si>
  <si>
    <t>7879806</t>
  </si>
  <si>
    <t>991005173609702656</t>
  </si>
  <si>
    <t>2267530350002656</t>
  </si>
  <si>
    <t>9780123052506</t>
  </si>
  <si>
    <t>32285001528826</t>
  </si>
  <si>
    <t>893613247</t>
  </si>
  <si>
    <t>RJ496.S7 I69</t>
  </si>
  <si>
    <t>0                      RJ 0496000S  7                  I  69</t>
  </si>
  <si>
    <t>Principles of childhood language disabilities / edited by John V. Irwin [and] Michael Marge.</t>
  </si>
  <si>
    <t>Irwin, John V.</t>
  </si>
  <si>
    <t>New York : Appleton-Century-Crofts, [1972]</t>
  </si>
  <si>
    <t>1993-04-01</t>
  </si>
  <si>
    <t>1422964:eng</t>
  </si>
  <si>
    <t>403129</t>
  </si>
  <si>
    <t>991002695029702656</t>
  </si>
  <si>
    <t>2265346040002656</t>
  </si>
  <si>
    <t>9780390477682</t>
  </si>
  <si>
    <t>32285000975465</t>
  </si>
  <si>
    <t>893239377</t>
  </si>
  <si>
    <t>RJ496.S7 J6 1967</t>
  </si>
  <si>
    <t>0                      RJ 0496000S  7                  J  6           1967</t>
  </si>
  <si>
    <t>Speech handicapped school children / [by] Wendell Johnson [and others]. Wendell Johnson and Dorothy Moeller, editors.</t>
  </si>
  <si>
    <t>Johnson, Wendell, 1906-1965.</t>
  </si>
  <si>
    <t>New York : Harper &amp; Row, [1967]</t>
  </si>
  <si>
    <t>1967</t>
  </si>
  <si>
    <t>1994-10-20</t>
  </si>
  <si>
    <t>1993-05-24</t>
  </si>
  <si>
    <t>1471782:eng</t>
  </si>
  <si>
    <t>510246</t>
  </si>
  <si>
    <t>991002888539702656</t>
  </si>
  <si>
    <t>2260085320002656</t>
  </si>
  <si>
    <t>32285001692077</t>
  </si>
  <si>
    <t>893245776</t>
  </si>
  <si>
    <t>RJ496.S7 K35</t>
  </si>
  <si>
    <t>0                      RJ 0496000S  7                  K  35</t>
  </si>
  <si>
    <t>Development and disorders of speech in childhood / by Isaac W. Karlin, David B. Karlin [and] Louise Gurren.</t>
  </si>
  <si>
    <t>Karlin, Isaac W., 1897-1962.</t>
  </si>
  <si>
    <t>Springfield, Ill. : C. C. Thomas, [1965]</t>
  </si>
  <si>
    <t>1965</t>
  </si>
  <si>
    <t>American lecture series, publication no. 614. A monograph in American lectures in speech and hearing</t>
  </si>
  <si>
    <t>1997-04-02</t>
  </si>
  <si>
    <t>1993-04-29</t>
  </si>
  <si>
    <t>1365941:eng</t>
  </si>
  <si>
    <t>259595</t>
  </si>
  <si>
    <t>991002023689702656</t>
  </si>
  <si>
    <t>2272756180002656</t>
  </si>
  <si>
    <t>32285001630515</t>
  </si>
  <si>
    <t>893621823</t>
  </si>
  <si>
    <t>RJ496.S7 L348</t>
  </si>
  <si>
    <t>0                      RJ 0496000S  7                  L  348</t>
  </si>
  <si>
    <t>Language intervention strategies / edited by Richard L. Schiefelbusch ; technical editors, Marilyn Barket, Robert Hoyt.</t>
  </si>
  <si>
    <t>Language intervention series ; v. 2</t>
  </si>
  <si>
    <t>2864420638:eng</t>
  </si>
  <si>
    <t>3844306</t>
  </si>
  <si>
    <t>991004528199702656</t>
  </si>
  <si>
    <t>2264665830002656</t>
  </si>
  <si>
    <t>9780839112389</t>
  </si>
  <si>
    <t>32285001528834</t>
  </si>
  <si>
    <t>893337850</t>
  </si>
  <si>
    <t>RJ496.S7 L356</t>
  </si>
  <si>
    <t>0                      RJ 0496000S  7                  L  356</t>
  </si>
  <si>
    <t>Communication for the non-verbal child / by Thalia Larson.</t>
  </si>
  <si>
    <t>Larson, Thalia.</t>
  </si>
  <si>
    <t>Johnstown, Pa. : Mafex Associates, c1975.</t>
  </si>
  <si>
    <t>2000-05-18</t>
  </si>
  <si>
    <t>2703500:eng</t>
  </si>
  <si>
    <t>1733137</t>
  </si>
  <si>
    <t>991005365129702656</t>
  </si>
  <si>
    <t>2256867390002656</t>
  </si>
  <si>
    <t>9780878042548</t>
  </si>
  <si>
    <t>32285003093597</t>
  </si>
  <si>
    <t>893242634</t>
  </si>
  <si>
    <t>RJ496.S7 M38 1984</t>
  </si>
  <si>
    <t>0                      RJ 0496000S  7                  M  38          1984</t>
  </si>
  <si>
    <t>Speech and language assessment for the bilingual handicapped / Larry J. Mattes and Donald R. Omark.</t>
  </si>
  <si>
    <t>Mattes, Larry J.</t>
  </si>
  <si>
    <t>3586677:eng</t>
  </si>
  <si>
    <t>10780833</t>
  </si>
  <si>
    <t>991000434429702656</t>
  </si>
  <si>
    <t>2255195900002656</t>
  </si>
  <si>
    <t>9780933014015</t>
  </si>
  <si>
    <t>32285001528842</t>
  </si>
  <si>
    <t>893425698</t>
  </si>
  <si>
    <t>RJ496.S7 M42</t>
  </si>
  <si>
    <t>0                      RJ 0496000S  7                  M  42</t>
  </si>
  <si>
    <t>Language disorders in children : a resource book for speech-language pathologists / by Merlin J. Mecham and Mary Louise Willbrand.</t>
  </si>
  <si>
    <t>Mecham, Merlin J.</t>
  </si>
  <si>
    <t>367268547:eng</t>
  </si>
  <si>
    <t>4495908</t>
  </si>
  <si>
    <t>991004658249702656</t>
  </si>
  <si>
    <t>2267904170002656</t>
  </si>
  <si>
    <t>9780398038656</t>
  </si>
  <si>
    <t>32285000982883</t>
  </si>
  <si>
    <t>893350249</t>
  </si>
  <si>
    <t>RJ496.S7 R66 1996</t>
  </si>
  <si>
    <t>0                      RJ 0496000S  7                  R  66          1996</t>
  </si>
  <si>
    <t>Communication intervention : birth to three / Louis M. Rossetti.</t>
  </si>
  <si>
    <t>Rossetti, Louis Michael.</t>
  </si>
  <si>
    <t>San Diego : Singular Pub. Co., 1996.</t>
  </si>
  <si>
    <t>1996-02-13</t>
  </si>
  <si>
    <t>20386209:eng</t>
  </si>
  <si>
    <t>33246877</t>
  </si>
  <si>
    <t>991002558909702656</t>
  </si>
  <si>
    <t>2259427420002656</t>
  </si>
  <si>
    <t>9781565931015</t>
  </si>
  <si>
    <t>32285002129715</t>
  </si>
  <si>
    <t>893616276</t>
  </si>
  <si>
    <t>RJ496.S7 W9</t>
  </si>
  <si>
    <t>0                      RJ 0496000S  7                  W  9</t>
  </si>
  <si>
    <t>Language learning and communication disorders in children / [by] Gertrud L. Wyatt.</t>
  </si>
  <si>
    <t>Wyatt, Gertrud L., 1903-</t>
  </si>
  <si>
    <t>New York : Free Press, [1969]</t>
  </si>
  <si>
    <t>1969</t>
  </si>
  <si>
    <t>2945937046:eng</t>
  </si>
  <si>
    <t>1814</t>
  </si>
  <si>
    <t>991005433429702656</t>
  </si>
  <si>
    <t>2271206120002656</t>
  </si>
  <si>
    <t>32285000426683</t>
  </si>
  <si>
    <t>893514747</t>
  </si>
  <si>
    <t>RJ496.S7 Z84</t>
  </si>
  <si>
    <t>0                      RJ 0496000S  7                  Z  84</t>
  </si>
  <si>
    <t>The disfluent child : a management program / by Daniel H. Zwitman.</t>
  </si>
  <si>
    <t>Zwitman, Daniel H., 1943-</t>
  </si>
  <si>
    <t>13288314:eng</t>
  </si>
  <si>
    <t>3843159</t>
  </si>
  <si>
    <t>991004525159702656</t>
  </si>
  <si>
    <t>2266338900002656</t>
  </si>
  <si>
    <t>9780839112778</t>
  </si>
  <si>
    <t>32285001528859</t>
  </si>
  <si>
    <t>893519758</t>
  </si>
  <si>
    <t>RJ496.S74 A53</t>
  </si>
  <si>
    <t>0                      RJ 0496000S  74                 A  53</t>
  </si>
  <si>
    <t>The child with spina bifida / Elizabeth M. Anderson and Bernie Spain.</t>
  </si>
  <si>
    <t>Anderson, Elizabeth M. (Elizabeth Marian)</t>
  </si>
  <si>
    <t>London : Methuen, 1977.</t>
  </si>
  <si>
    <t>2003-03-29</t>
  </si>
  <si>
    <t>1994-06-01</t>
  </si>
  <si>
    <t>9957235:eng</t>
  </si>
  <si>
    <t>3337161</t>
  </si>
  <si>
    <t>991004410429702656</t>
  </si>
  <si>
    <t>2272760270002656</t>
  </si>
  <si>
    <t>9780416559002</t>
  </si>
  <si>
    <t>32285001913606</t>
  </si>
  <si>
    <t>893411505</t>
  </si>
  <si>
    <t>RJ496.S8 A36</t>
  </si>
  <si>
    <t>0                      RJ 0496000S  8                  A  36</t>
  </si>
  <si>
    <t>Stuttering : what it is and what to do about it / by Stanley Ainsworth.</t>
  </si>
  <si>
    <t>Ainsworth, Stanley Humphreys, 1913-</t>
  </si>
  <si>
    <t>Lincoln, Neb. : Cliffs Notes, [1975]</t>
  </si>
  <si>
    <t>nbu</t>
  </si>
  <si>
    <t>Cliffs speech and hearing series</t>
  </si>
  <si>
    <t>2001-04-09</t>
  </si>
  <si>
    <t>2200751:eng</t>
  </si>
  <si>
    <t>1322248</t>
  </si>
  <si>
    <t>991003691289702656</t>
  </si>
  <si>
    <t>2254774340002656</t>
  </si>
  <si>
    <t>9780822018056</t>
  </si>
  <si>
    <t>32285003093621</t>
  </si>
  <si>
    <t>893429087</t>
  </si>
  <si>
    <t>RJ499 .A32 1982</t>
  </si>
  <si>
    <t>0                      RJ 0499000A  32          1982</t>
  </si>
  <si>
    <t>Developmental psychopathology / Thomas M. Achenbach.</t>
  </si>
  <si>
    <t>Achenbach, Thomas M., 1940-</t>
  </si>
  <si>
    <t>1994-04-05</t>
  </si>
  <si>
    <t>3856990145:eng</t>
  </si>
  <si>
    <t>8283189</t>
  </si>
  <si>
    <t>991005226749702656</t>
  </si>
  <si>
    <t>2268438640002656</t>
  </si>
  <si>
    <t>9780471055365</t>
  </si>
  <si>
    <t>32285001528982</t>
  </si>
  <si>
    <t>893877157</t>
  </si>
  <si>
    <t>RJ499 .A425 1981</t>
  </si>
  <si>
    <t>0                      RJ 0499000A  425         1981</t>
  </si>
  <si>
    <t>Childhood behavior disorders : applied research and educational practice / Robert Algozzine, Rex Schmid, Cecil D. Mercer.</t>
  </si>
  <si>
    <t>Algozzine, Robert.</t>
  </si>
  <si>
    <t>Rockville, Md. : Aspen Systems Corp., 1981.</t>
  </si>
  <si>
    <t>1994-11-09</t>
  </si>
  <si>
    <t>551543:eng</t>
  </si>
  <si>
    <t>7459815</t>
  </si>
  <si>
    <t>991005113019702656</t>
  </si>
  <si>
    <t>2256427710002656</t>
  </si>
  <si>
    <t>9780894433450</t>
  </si>
  <si>
    <t>32285000887025</t>
  </si>
  <si>
    <t>893694773</t>
  </si>
  <si>
    <t>RJ499 .B33</t>
  </si>
  <si>
    <t>0                      RJ 0499000B  33</t>
  </si>
  <si>
    <t>Basic handbook of child psychiatry / Joseph D. Noshpitz, editor-in-chief.</t>
  </si>
  <si>
    <t>New York : Basic Books, c1979.</t>
  </si>
  <si>
    <t>1994-04-22</t>
  </si>
  <si>
    <t>3373729192:eng</t>
  </si>
  <si>
    <t>4570504</t>
  </si>
  <si>
    <t>991001772539702656</t>
  </si>
  <si>
    <t>2268206530002656</t>
  </si>
  <si>
    <t>9780465005895</t>
  </si>
  <si>
    <t>32285001528990</t>
  </si>
  <si>
    <t>893503676</t>
  </si>
  <si>
    <t>V. 4</t>
  </si>
  <si>
    <t>1992-04-03</t>
  </si>
  <si>
    <t>32285001033173</t>
  </si>
  <si>
    <t>893509905</t>
  </si>
  <si>
    <t>32285001529006</t>
  </si>
  <si>
    <t>893522828</t>
  </si>
  <si>
    <t>1992-04-15</t>
  </si>
  <si>
    <t>32285001060564</t>
  </si>
  <si>
    <t>893522829</t>
  </si>
  <si>
    <t>RJ499 .B387 1986</t>
  </si>
  <si>
    <t>0                      RJ 0499000B  387         1986</t>
  </si>
  <si>
    <t>Behavior disorders in infants, children, and adolescents / edited by John M. Reisman.</t>
  </si>
  <si>
    <t>New York : Random House, c1986.</t>
  </si>
  <si>
    <t>1996-04-15</t>
  </si>
  <si>
    <t>1992-11-13</t>
  </si>
  <si>
    <t>5676557:eng</t>
  </si>
  <si>
    <t>13123840</t>
  </si>
  <si>
    <t>991000785359702656</t>
  </si>
  <si>
    <t>2256882350002656</t>
  </si>
  <si>
    <t>9780394355764</t>
  </si>
  <si>
    <t>32285001384774</t>
  </si>
  <si>
    <t>893243578</t>
  </si>
  <si>
    <t>RJ499 .B57 1982</t>
  </si>
  <si>
    <t>0                      RJ 0499000B  57          1982</t>
  </si>
  <si>
    <t>Prescriptions for children with learning and adjustment problems / by Ralph F. Blanco.</t>
  </si>
  <si>
    <t>Blanco, Ralph F.</t>
  </si>
  <si>
    <t>Springfield, Ill. : Thomas, c1982.</t>
  </si>
  <si>
    <t>1995-03-15</t>
  </si>
  <si>
    <t>218537:eng</t>
  </si>
  <si>
    <t>7462066</t>
  </si>
  <si>
    <t>991005115459702656</t>
  </si>
  <si>
    <t>2262703490002656</t>
  </si>
  <si>
    <t>9780398045111</t>
  </si>
  <si>
    <t>32285001529014</t>
  </si>
  <si>
    <t>893520450</t>
  </si>
  <si>
    <t>RJ499 .B87</t>
  </si>
  <si>
    <t>0                      RJ 0499000B  87</t>
  </si>
  <si>
    <t>Troubled children in a troubled world.</t>
  </si>
  <si>
    <t>Buxbaum, Edith.</t>
  </si>
  <si>
    <t>New York, International Universities Press [1970]</t>
  </si>
  <si>
    <t>2003-01-26</t>
  </si>
  <si>
    <t>489437:eng</t>
  </si>
  <si>
    <t>117898</t>
  </si>
  <si>
    <t>991000663569702656</t>
  </si>
  <si>
    <t>2260935660002656</t>
  </si>
  <si>
    <t>32285003093704</t>
  </si>
  <si>
    <t>893237503</t>
  </si>
  <si>
    <t>RJ499 .C26</t>
  </si>
  <si>
    <t>0                      RJ 0499000C  26</t>
  </si>
  <si>
    <t>Emotional problems of early childhood.</t>
  </si>
  <si>
    <t>Caplan, Gerald editor.</t>
  </si>
  <si>
    <t>New York : Basic Books, [1955]</t>
  </si>
  <si>
    <t>1955</t>
  </si>
  <si>
    <t>1997-06-30</t>
  </si>
  <si>
    <t>1992-04-01</t>
  </si>
  <si>
    <t>1497478:eng</t>
  </si>
  <si>
    <t>638204</t>
  </si>
  <si>
    <t>991001772479702656</t>
  </si>
  <si>
    <t>2259528550002656</t>
  </si>
  <si>
    <t>32285001031623</t>
  </si>
  <si>
    <t>893709527</t>
  </si>
  <si>
    <t>RJ499 .C294</t>
  </si>
  <si>
    <t>0                      RJ 0499000C  294</t>
  </si>
  <si>
    <t>Childhood pathology and later adjustment : the question of prediction / Loretta K. Cass, Carolyn B. Thomas.</t>
  </si>
  <si>
    <t>Cass, Loretta K.</t>
  </si>
  <si>
    <t>New York : Wiley, c1979.</t>
  </si>
  <si>
    <t>1997-12-04</t>
  </si>
  <si>
    <t>14758203:eng</t>
  </si>
  <si>
    <t>4491538</t>
  </si>
  <si>
    <t>991004645479702656</t>
  </si>
  <si>
    <t>2264034840002656</t>
  </si>
  <si>
    <t>9780471045533</t>
  </si>
  <si>
    <t>32285001529022</t>
  </si>
  <si>
    <t>893612592</t>
  </si>
  <si>
    <t>RJ499 .C43 1982</t>
  </si>
  <si>
    <t>0                      RJ 0499000C  43          1982</t>
  </si>
  <si>
    <t>Children under stress : understanding emotional adjustment reactions / by Louis A. Chandler.</t>
  </si>
  <si>
    <t>Chandler, Louis A.</t>
  </si>
  <si>
    <t>Springfield, Ill. : C.C. Thomas, c1982.</t>
  </si>
  <si>
    <t>2004-02-24</t>
  </si>
  <si>
    <t>4890345:eng</t>
  </si>
  <si>
    <t>7836134</t>
  </si>
  <si>
    <t>991005166689702656</t>
  </si>
  <si>
    <t>2255351750002656</t>
  </si>
  <si>
    <t>9780398046170</t>
  </si>
  <si>
    <t>32285001529030</t>
  </si>
  <si>
    <t>893254571</t>
  </si>
  <si>
    <t>RJ499 .C45</t>
  </si>
  <si>
    <t>0                      RJ 0499000C  45</t>
  </si>
  <si>
    <t>Management of emotional problems of children and adolescents [by] A. H. Chapman.</t>
  </si>
  <si>
    <t>Chapman, A. H. (Arthur Harry), 1924-</t>
  </si>
  <si>
    <t>Philadelphia, Lippincott [1965]</t>
  </si>
  <si>
    <t>1992-02-21</t>
  </si>
  <si>
    <t>1604124:eng</t>
  </si>
  <si>
    <t>755758</t>
  </si>
  <si>
    <t>991003230879702656</t>
  </si>
  <si>
    <t>2267012120002656</t>
  </si>
  <si>
    <t>32285000948496</t>
  </si>
  <si>
    <t>893317775</t>
  </si>
  <si>
    <t>RJ499 .C4728 1984</t>
  </si>
  <si>
    <t>0                      RJ 0499000C  4728        1984</t>
  </si>
  <si>
    <t>Origins and evolution of behavior disorders : from infancy to early adult life / Stella Chess, Alexander Thomas.</t>
  </si>
  <si>
    <t>Chess, Stella.</t>
  </si>
  <si>
    <t>New York : Brunner/Mazel, c1984.</t>
  </si>
  <si>
    <t>3252362:eng</t>
  </si>
  <si>
    <t>10914913</t>
  </si>
  <si>
    <t>991000457509702656</t>
  </si>
  <si>
    <t>2255941080002656</t>
  </si>
  <si>
    <t>9780876303689</t>
  </si>
  <si>
    <t>32285001529048</t>
  </si>
  <si>
    <t>893890694</t>
  </si>
  <si>
    <t>RJ499 .C473</t>
  </si>
  <si>
    <t>0                      RJ 0499000C  473</t>
  </si>
  <si>
    <t>Principles and practice of child psychiatry / Stella Chess and Mahin Hassibi. --</t>
  </si>
  <si>
    <t>New York : Plenum Press, c1978.</t>
  </si>
  <si>
    <t>1998-09-28</t>
  </si>
  <si>
    <t>7008193:eng</t>
  </si>
  <si>
    <t>3649855</t>
  </si>
  <si>
    <t>991005257649702656</t>
  </si>
  <si>
    <t>2255875450002656</t>
  </si>
  <si>
    <t>9780306311314</t>
  </si>
  <si>
    <t>32285001529055</t>
  </si>
  <si>
    <t>893507867</t>
  </si>
  <si>
    <t>RJ499 .C4822 1990</t>
  </si>
  <si>
    <t>0                      RJ 0499000C  4822        1990</t>
  </si>
  <si>
    <t>Child and adolescent disorders : developmental and health psychology perspectives / edited by Sam B. Morgan, Theresa M. Okwumabua.</t>
  </si>
  <si>
    <t>Hillsdale, N.J. : L. Erlbaum Associates, c1990.</t>
  </si>
  <si>
    <t>1998-07-06</t>
  </si>
  <si>
    <t>865278811:eng</t>
  </si>
  <si>
    <t>21197818</t>
  </si>
  <si>
    <t>991001664579702656</t>
  </si>
  <si>
    <t>2271756960002656</t>
  </si>
  <si>
    <t>9780805805147</t>
  </si>
  <si>
    <t>32285000405547</t>
  </si>
  <si>
    <t>893328276</t>
  </si>
  <si>
    <t>RJ499 .C4833</t>
  </si>
  <si>
    <t>0                      RJ 0499000C  4833</t>
  </si>
  <si>
    <t>Child development in normality and psychopathology / edited by Jules R. Bemporad.</t>
  </si>
  <si>
    <t>New York : Brunner/Mazel, c1980.</t>
  </si>
  <si>
    <t>18917942:eng</t>
  </si>
  <si>
    <t>5676418</t>
  </si>
  <si>
    <t>991004857549702656</t>
  </si>
  <si>
    <t>2260170340002656</t>
  </si>
  <si>
    <t>9780876302101</t>
  </si>
  <si>
    <t>32285001529063</t>
  </si>
  <si>
    <t>893418095</t>
  </si>
  <si>
    <t>RJ499 .C684 1986</t>
  </si>
  <si>
    <t>0                      RJ 0499000C  684         1986</t>
  </si>
  <si>
    <t>Crisis intervention with children and families / edited by Stephen M. Auerbach [and] Arnold L. Stolberg.</t>
  </si>
  <si>
    <t>Washington : Hemisphere Pub. Corp., c1986.</t>
  </si>
  <si>
    <t>The Series in clinical and community psychology</t>
  </si>
  <si>
    <t>2001-04-17</t>
  </si>
  <si>
    <t>355772486:eng</t>
  </si>
  <si>
    <t>12972895</t>
  </si>
  <si>
    <t>991000760419702656</t>
  </si>
  <si>
    <t>2263631360002656</t>
  </si>
  <si>
    <t>9780891163954</t>
  </si>
  <si>
    <t>32285000838564</t>
  </si>
  <si>
    <t>893771943</t>
  </si>
  <si>
    <t>RJ499 .C85 1983</t>
  </si>
  <si>
    <t>0                      RJ 0499000C  85          1983</t>
  </si>
  <si>
    <t>Behavior disorders of children and adolescents / Douglas Cullinan, Michael H. Epstein, John Wills Lloyd.</t>
  </si>
  <si>
    <t>Cullinan, Douglas.</t>
  </si>
  <si>
    <t>Englewood Cliffs, N.J. : Prentice-Hall, c1983.</t>
  </si>
  <si>
    <t>1997-03-13</t>
  </si>
  <si>
    <t>1990-02-06</t>
  </si>
  <si>
    <t>42938378:eng</t>
  </si>
  <si>
    <t>8827486</t>
  </si>
  <si>
    <t>991000080199702656</t>
  </si>
  <si>
    <t>2266562790002656</t>
  </si>
  <si>
    <t>9780130720412</t>
  </si>
  <si>
    <t>32285000039577</t>
  </si>
  <si>
    <t>893607602</t>
  </si>
  <si>
    <t>RJ499 .D383</t>
  </si>
  <si>
    <t>0                      RJ 0499000D  383</t>
  </si>
  <si>
    <t>Children in conflict : a casebook / with contributions by Spencer De Vault and John J. Laffey.</t>
  </si>
  <si>
    <t>Davids, Anthony.</t>
  </si>
  <si>
    <t>New York : Wiley, [1974]</t>
  </si>
  <si>
    <t>1995-11-15</t>
  </si>
  <si>
    <t>42450001:eng</t>
  </si>
  <si>
    <t>754512</t>
  </si>
  <si>
    <t>991003229759702656</t>
  </si>
  <si>
    <t>2267566960002656</t>
  </si>
  <si>
    <t>9780471196976</t>
  </si>
  <si>
    <t>32285000876069</t>
  </si>
  <si>
    <t>893317769</t>
  </si>
  <si>
    <t>RJ499 .D49 1985</t>
  </si>
  <si>
    <t>0                      RJ 0499000D  49          1985</t>
  </si>
  <si>
    <t>Diagnosis and psychopharmacology of childhood and adolescent disorders / edited by Jerry M. Wiener.</t>
  </si>
  <si>
    <t>New York : Wiley, c1985.</t>
  </si>
  <si>
    <t>Wiley series in child and adolescent mental health</t>
  </si>
  <si>
    <t>1996-10-29</t>
  </si>
  <si>
    <t>1993-01-04</t>
  </si>
  <si>
    <t>54683217:eng</t>
  </si>
  <si>
    <t>11469666</t>
  </si>
  <si>
    <t>991000539169702656</t>
  </si>
  <si>
    <t>2264429420002656</t>
  </si>
  <si>
    <t>9780471800712</t>
  </si>
  <si>
    <t>32285001471670</t>
  </si>
  <si>
    <t>893425816</t>
  </si>
  <si>
    <t>RJ499 .E415 1981</t>
  </si>
  <si>
    <t>0                      RJ 0499000E  415         1981</t>
  </si>
  <si>
    <t>The hurried child : growing up too fast too soon / David Elkind.</t>
  </si>
  <si>
    <t>Elkind, David, 1931-</t>
  </si>
  <si>
    <t>Reading, Mass. : Addison-Wesley Pub. Co., c1981, 1982 printing.</t>
  </si>
  <si>
    <t>2009-02-09</t>
  </si>
  <si>
    <t>1990-07-12</t>
  </si>
  <si>
    <t>298963:eng</t>
  </si>
  <si>
    <t>7795438</t>
  </si>
  <si>
    <t>991005161679702656</t>
  </si>
  <si>
    <t>2267922270002656</t>
  </si>
  <si>
    <t>9780201039665</t>
  </si>
  <si>
    <t>32285000236454</t>
  </si>
  <si>
    <t>893722806</t>
  </si>
  <si>
    <t>RJ499 .E63</t>
  </si>
  <si>
    <t>0                      RJ 0499000E  63</t>
  </si>
  <si>
    <t>Child psychopathology : assessment, etiology, and treatment / Marilyn T. Erickson.</t>
  </si>
  <si>
    <t>Erickson, Marilyn T.</t>
  </si>
  <si>
    <t>1997-03-04</t>
  </si>
  <si>
    <t>1991-11-20</t>
  </si>
  <si>
    <t>196509884:eng</t>
  </si>
  <si>
    <t>2966612</t>
  </si>
  <si>
    <t>991004298209702656</t>
  </si>
  <si>
    <t>2267178440002656</t>
  </si>
  <si>
    <t>9780131311022</t>
  </si>
  <si>
    <t>32285000841493</t>
  </si>
  <si>
    <t>893894821</t>
  </si>
  <si>
    <t>RJ499 .E63 1987</t>
  </si>
  <si>
    <t>0                      RJ 0499000E  63          1987</t>
  </si>
  <si>
    <t>Behavior disorders of children and adolescents / Marilyn T. Erickson.</t>
  </si>
  <si>
    <t>Englewood Cliffs, N.J. : Prentice-Hall, c1987.</t>
  </si>
  <si>
    <t>1998-05-26</t>
  </si>
  <si>
    <t>1990-02-13</t>
  </si>
  <si>
    <t>638332:eng</t>
  </si>
  <si>
    <t>14129341</t>
  </si>
  <si>
    <t>991000909079702656</t>
  </si>
  <si>
    <t>2258246710002656</t>
  </si>
  <si>
    <t>9780130718044</t>
  </si>
  <si>
    <t>32285000051242</t>
  </si>
  <si>
    <t>893602159</t>
  </si>
  <si>
    <t>RJ499 .E796 1997</t>
  </si>
  <si>
    <t>0                      RJ 0499000E  796         1997</t>
  </si>
  <si>
    <t>Evaluating mental health services : how do programs for children "work" in the real world? / Carol T. Nixon and Denine A. Northrup, editors.</t>
  </si>
  <si>
    <t>Thousand Oaks : Sage Publications, c1997.</t>
  </si>
  <si>
    <t>Children's mental health services ; v. 3</t>
  </si>
  <si>
    <t>1997-05-09</t>
  </si>
  <si>
    <t>1997-04-14</t>
  </si>
  <si>
    <t>890277341:eng</t>
  </si>
  <si>
    <t>35637365</t>
  </si>
  <si>
    <t>991002717089702656</t>
  </si>
  <si>
    <t>2267450390002656</t>
  </si>
  <si>
    <t>9780761907954</t>
  </si>
  <si>
    <t>32285002496643</t>
  </si>
  <si>
    <t>893434199</t>
  </si>
  <si>
    <t>RJ499 .F76</t>
  </si>
  <si>
    <t>0                      RJ 0499000F  76</t>
  </si>
  <si>
    <t>Childhood psychopathology and adult psychoses / Thomas Freeman ; pref. by Anna Freud.</t>
  </si>
  <si>
    <t>Freeman, Thomas.</t>
  </si>
  <si>
    <t>New York : International Universities Press, c1976.</t>
  </si>
  <si>
    <t>1998-09-24</t>
  </si>
  <si>
    <t>2707801:eng</t>
  </si>
  <si>
    <t>1733619</t>
  </si>
  <si>
    <t>991003884339702656</t>
  </si>
  <si>
    <t>2256796990002656</t>
  </si>
  <si>
    <t>9780823607754</t>
  </si>
  <si>
    <t>32285000347749</t>
  </si>
  <si>
    <t>893881671</t>
  </si>
  <si>
    <t>RJ499 .G374 1985</t>
  </si>
  <si>
    <t>0                      RJ 0499000G  374         1985</t>
  </si>
  <si>
    <t>Child development and psychopathology / by Donna M. Gelfand, Lizette Peterson.</t>
  </si>
  <si>
    <t>Gelfand, Donna M., 1937-</t>
  </si>
  <si>
    <t>Beverly Hills : Sage Publications, c1985.</t>
  </si>
  <si>
    <t>Clinical child psychology and child psychiatry ; v. 1</t>
  </si>
  <si>
    <t>4305225:eng</t>
  </si>
  <si>
    <t>11755668</t>
  </si>
  <si>
    <t>991000584149702656</t>
  </si>
  <si>
    <t>2270733540002656</t>
  </si>
  <si>
    <t>9780803922839</t>
  </si>
  <si>
    <t>32285001529089</t>
  </si>
  <si>
    <t>893339690</t>
  </si>
  <si>
    <t>RJ499 .G375</t>
  </si>
  <si>
    <t>0                      RJ 0499000G  375</t>
  </si>
  <si>
    <t>Understanding child behavior disorders / Donna M. Gelfand, William R. Jenson, Clifford J. Drew.</t>
  </si>
  <si>
    <t>New York : Holt, Rinehart, and Winston, c1982.</t>
  </si>
  <si>
    <t>401274:eng</t>
  </si>
  <si>
    <t>7836171</t>
  </si>
  <si>
    <t>991005166789702656</t>
  </si>
  <si>
    <t>2255360500002656</t>
  </si>
  <si>
    <t>9780030442117</t>
  </si>
  <si>
    <t>32285001529097</t>
  </si>
  <si>
    <t>893877046</t>
  </si>
  <si>
    <t>RJ499 .H334 1988</t>
  </si>
  <si>
    <t>0                      RJ 0499000H  334         1988</t>
  </si>
  <si>
    <t>Handbook of treatment approaches in childhood psychopathology / edited by Johnny L. Matson.</t>
  </si>
  <si>
    <t>New York : Plenum, c1988.</t>
  </si>
  <si>
    <t>Applied clinical psychology</t>
  </si>
  <si>
    <t>2004-02-05</t>
  </si>
  <si>
    <t>1991-03-11</t>
  </si>
  <si>
    <t>16617658:eng</t>
  </si>
  <si>
    <t>18167260</t>
  </si>
  <si>
    <t>991001315169702656</t>
  </si>
  <si>
    <t>2263979640002656</t>
  </si>
  <si>
    <t>9780306428449</t>
  </si>
  <si>
    <t>32285000511328</t>
  </si>
  <si>
    <t>893408034</t>
  </si>
  <si>
    <t>RJ499 .H85</t>
  </si>
  <si>
    <t>0                      RJ 0499000H  85</t>
  </si>
  <si>
    <t>The Humanization processes : a social, behavioral analysis of children's problems / [by] Robert L. Hamblin [and others]</t>
  </si>
  <si>
    <t>New York : Wiley-Interscience, [1971]</t>
  </si>
  <si>
    <t>Wiley series on psychological disorders</t>
  </si>
  <si>
    <t>2000-11-28</t>
  </si>
  <si>
    <t>1991-09-26</t>
  </si>
  <si>
    <t>865045311:eng</t>
  </si>
  <si>
    <t>151656</t>
  </si>
  <si>
    <t>991000875059702656</t>
  </si>
  <si>
    <t>2272285910002656</t>
  </si>
  <si>
    <t>9780471346302</t>
  </si>
  <si>
    <t>32285000760297</t>
  </si>
  <si>
    <t>893897297</t>
  </si>
  <si>
    <t>RJ499 .I68 1987</t>
  </si>
  <si>
    <t>0                      RJ 0499000I  68          1987</t>
  </si>
  <si>
    <t>The Invulnerable child / edited by E. James Anthony and Bertram J. Cohler.</t>
  </si>
  <si>
    <t>New York : Guilford Press, c1987.</t>
  </si>
  <si>
    <t>The Guillford psychiatry series</t>
  </si>
  <si>
    <t>1997-03-17</t>
  </si>
  <si>
    <t>180131465:eng</t>
  </si>
  <si>
    <t>14693097</t>
  </si>
  <si>
    <t>991000953369702656</t>
  </si>
  <si>
    <t>2257345770002656</t>
  </si>
  <si>
    <t>9780898622270</t>
  </si>
  <si>
    <t>32285001529121</t>
  </si>
  <si>
    <t>893891173</t>
  </si>
  <si>
    <t>RJ499 .J67</t>
  </si>
  <si>
    <t>0                      RJ 0499000J  67</t>
  </si>
  <si>
    <t>Clinician's handbook of childhood psychopathology / edited by Martin M. Josephson and Robert T. Porter.</t>
  </si>
  <si>
    <t>Josephson, Martin M.</t>
  </si>
  <si>
    <t>New York : Jason Aronson, c1979.</t>
  </si>
  <si>
    <t>1993-11-30</t>
  </si>
  <si>
    <t>375261217:eng</t>
  </si>
  <si>
    <t>6734204</t>
  </si>
  <si>
    <t>991004787899702656</t>
  </si>
  <si>
    <t>2270968280002656</t>
  </si>
  <si>
    <t>9780876683477</t>
  </si>
  <si>
    <t>32285000218999</t>
  </si>
  <si>
    <t>893424189</t>
  </si>
  <si>
    <t>RJ499 .J88 1989</t>
  </si>
  <si>
    <t>0                      RJ 0499000J  88          1989</t>
  </si>
  <si>
    <t>Juvenile psychiatry and the law / edited by Richard Rosner and Harold I. Schwartz.</t>
  </si>
  <si>
    <t>New York ; London : Plenum Press, 1989.</t>
  </si>
  <si>
    <t>Critical issues in American psychiatry and the law ; v. 4</t>
  </si>
  <si>
    <t>2000-04-10</t>
  </si>
  <si>
    <t>1990-07-16</t>
  </si>
  <si>
    <t>434571295:eng</t>
  </si>
  <si>
    <t>21526270</t>
  </si>
  <si>
    <t>991001456299702656</t>
  </si>
  <si>
    <t>2271318200002656</t>
  </si>
  <si>
    <t>9780306429583</t>
  </si>
  <si>
    <t>32285000208131</t>
  </si>
  <si>
    <t>893785115</t>
  </si>
  <si>
    <t>RJ499 .K322</t>
  </si>
  <si>
    <t>0                      RJ 0499000K  322</t>
  </si>
  <si>
    <t>Childhood psychosis: initial studies and new insights.</t>
  </si>
  <si>
    <t>Kanner, Leo, 1894-1981.</t>
  </si>
  <si>
    <t>Washington, V. H. Winston; distributed by Halsted Press Division, Wiley, New York, 1973.</t>
  </si>
  <si>
    <t>1996-04-22</t>
  </si>
  <si>
    <t>1998-07-27</t>
  </si>
  <si>
    <t>1746970:eng</t>
  </si>
  <si>
    <t>584826</t>
  </si>
  <si>
    <t>991001772729702656</t>
  </si>
  <si>
    <t>2268853650002656</t>
  </si>
  <si>
    <t>9780470456101</t>
  </si>
  <si>
    <t>32285003437307</t>
  </si>
  <si>
    <t>893444797</t>
  </si>
  <si>
    <t>RJ499 .K34 1985</t>
  </si>
  <si>
    <t>0                      RJ 0499000K  34          1985</t>
  </si>
  <si>
    <t>Characteristics of children's behavior disorders / James M. Kauffman.</t>
  </si>
  <si>
    <t>Kauffman, James M.</t>
  </si>
  <si>
    <t>Columbus : C. E. Merrill, 1985.</t>
  </si>
  <si>
    <t>3901040383:eng</t>
  </si>
  <si>
    <t>11563568</t>
  </si>
  <si>
    <t>991000556579702656</t>
  </si>
  <si>
    <t>2260429400002656</t>
  </si>
  <si>
    <t>9780675203944</t>
  </si>
  <si>
    <t>32285000219013</t>
  </si>
  <si>
    <t>893601855</t>
  </si>
  <si>
    <t>RJ499 .K57</t>
  </si>
  <si>
    <t>0                      RJ 0499000K  57</t>
  </si>
  <si>
    <t>Childhood psychopathology : a developmental approach / Irwin J. Knopf.</t>
  </si>
  <si>
    <t>Knopf, Irwin J.</t>
  </si>
  <si>
    <t>Englewood Cliffs, N.J. : Prentice-Hall, c1979.</t>
  </si>
  <si>
    <t>836639283:eng</t>
  </si>
  <si>
    <t>4496651</t>
  </si>
  <si>
    <t>991004660569702656</t>
  </si>
  <si>
    <t>2268741840002656</t>
  </si>
  <si>
    <t>9780131303362</t>
  </si>
  <si>
    <t>32285001529139</t>
  </si>
  <si>
    <t>893430338</t>
  </si>
  <si>
    <t>RJ499 .K65 1979</t>
  </si>
  <si>
    <t>0                      RJ 0499000K  65          1979</t>
  </si>
  <si>
    <t>Wasted lives : a study of children in mental hospitals and their families / Lillian Cohen Kovar.</t>
  </si>
  <si>
    <t>Kovar, Lillian Cohen, 1918-</t>
  </si>
  <si>
    <t>New York : Gardner Press : distributed by Halsted Press, c1979.</t>
  </si>
  <si>
    <t>1993-07-09</t>
  </si>
  <si>
    <t>375195732:eng</t>
  </si>
  <si>
    <t>4504401</t>
  </si>
  <si>
    <t>991004666469702656</t>
  </si>
  <si>
    <t>2264914360002656</t>
  </si>
  <si>
    <t>9780470265642</t>
  </si>
  <si>
    <t>32285001529147</t>
  </si>
  <si>
    <t>893895270</t>
  </si>
  <si>
    <t>RJ499 .Q32 1986</t>
  </si>
  <si>
    <t>0                      RJ 0499000Q  32          1986</t>
  </si>
  <si>
    <t>Psychopathological disorders of childhood / edited by Herbert C. Quay, John S. Werry.</t>
  </si>
  <si>
    <t>New York : Wiley, c1986.</t>
  </si>
  <si>
    <t>1996-04-21</t>
  </si>
  <si>
    <t>353256183:eng</t>
  </si>
  <si>
    <t>13580551</t>
  </si>
  <si>
    <t>991000848389702656</t>
  </si>
  <si>
    <t>2257656280002656</t>
  </si>
  <si>
    <t>9780471889748</t>
  </si>
  <si>
    <t>32285000219021</t>
  </si>
  <si>
    <t>893327649</t>
  </si>
  <si>
    <t>RJ499 .R43 1984</t>
  </si>
  <si>
    <t>0                      RJ 0499000R  43          1984</t>
  </si>
  <si>
    <t>Progress in pediatric psychology / edited by William J. Burns, John V. Lavigne.</t>
  </si>
  <si>
    <t>Orlando : Grune &amp; Stratton, c1984.</t>
  </si>
  <si>
    <t>flu</t>
  </si>
  <si>
    <t>428915272:eng</t>
  </si>
  <si>
    <t>10299426</t>
  </si>
  <si>
    <t>991000348459702656</t>
  </si>
  <si>
    <t>2255400630002656</t>
  </si>
  <si>
    <t>9780808916024</t>
  </si>
  <si>
    <t>32285001529220</t>
  </si>
  <si>
    <t>893508697</t>
  </si>
  <si>
    <t>RJ499 .R53 1982</t>
  </si>
  <si>
    <t>0                      RJ 0499000R  53          1982</t>
  </si>
  <si>
    <t>The Rights of children : legal and psychological perspectives / edited by James S. Henning.</t>
  </si>
  <si>
    <t>1997-11-05</t>
  </si>
  <si>
    <t>1992-10-16</t>
  </si>
  <si>
    <t>472395:eng</t>
  </si>
  <si>
    <t>7774470</t>
  </si>
  <si>
    <t>991005160009702656</t>
  </si>
  <si>
    <t>2267040960002656</t>
  </si>
  <si>
    <t>9780398045258</t>
  </si>
  <si>
    <t>32285001350221</t>
  </si>
  <si>
    <t>893514141</t>
  </si>
  <si>
    <t>RJ499 .R54</t>
  </si>
  <si>
    <t>0                      RJ 0499000R  54</t>
  </si>
  <si>
    <t>Infantile autism : the syndrome and its implications for a neural theory of behavior.</t>
  </si>
  <si>
    <t>Rimland, Bernard, 1928-2006.</t>
  </si>
  <si>
    <t>[New York : Appleton-Century-Crofts, [1964]</t>
  </si>
  <si>
    <t>1964</t>
  </si>
  <si>
    <t>The Century psychology series</t>
  </si>
  <si>
    <t>1999-11-09</t>
  </si>
  <si>
    <t>1991-09-03</t>
  </si>
  <si>
    <t>806800210:eng</t>
  </si>
  <si>
    <t>711096</t>
  </si>
  <si>
    <t>991005265359702656</t>
  </si>
  <si>
    <t>2264061970002656</t>
  </si>
  <si>
    <t>32285000734144</t>
  </si>
  <si>
    <t>893514357</t>
  </si>
  <si>
    <t>RJ499 .R625 1988</t>
  </si>
  <si>
    <t>0                      RJ 0499000R  625         1988</t>
  </si>
  <si>
    <t>Internalizing and externalizing expressions of dysfunction / edited by Dante Cicchetti, Sheree L. Toth.</t>
  </si>
  <si>
    <t>Rochester Symposium on Developmental Psychopathology (2nd : 1988 : University of Rochester)</t>
  </si>
  <si>
    <t>Hillsdale, N.J. : L. Erlbaum Associates, 1991.</t>
  </si>
  <si>
    <t>Rochester Symposium on Developmental Psychopathology ; v. 2</t>
  </si>
  <si>
    <t>2006-06-30</t>
  </si>
  <si>
    <t>1994-12-13</t>
  </si>
  <si>
    <t>355949621:eng</t>
  </si>
  <si>
    <t>23584395</t>
  </si>
  <si>
    <t>991001870369702656</t>
  </si>
  <si>
    <t>2255153510002656</t>
  </si>
  <si>
    <t>9780805809336</t>
  </si>
  <si>
    <t>32285001976330</t>
  </si>
  <si>
    <t>893433192</t>
  </si>
  <si>
    <t>RJ499 .R66 1980</t>
  </si>
  <si>
    <t>0                      RJ 0499000R  66          1980</t>
  </si>
  <si>
    <t>Psychological disorders of children : a behavioral approach to theory, research, and therapy / Alan O. Ross.</t>
  </si>
  <si>
    <t>Ross, Alan O.</t>
  </si>
  <si>
    <t>New York : McGraw-Hill, c1980.</t>
  </si>
  <si>
    <t>McGraw-Hill series in psychology</t>
  </si>
  <si>
    <t>1995-10-11</t>
  </si>
  <si>
    <t>1697546:eng</t>
  </si>
  <si>
    <t>5029762</t>
  </si>
  <si>
    <t>991004766879702656</t>
  </si>
  <si>
    <t>2271157230002656</t>
  </si>
  <si>
    <t>9780070538832</t>
  </si>
  <si>
    <t>32285001529238</t>
  </si>
  <si>
    <t>893688124</t>
  </si>
  <si>
    <t>RJ499 .S798</t>
  </si>
  <si>
    <t>0                      RJ 0499000S  798</t>
  </si>
  <si>
    <t>Taxonomy of behaviour disturbance / [by] D. H. Stott, N. C. Marston and Sara J. Neill. --</t>
  </si>
  <si>
    <t>Stott, D. H. (Denis Herbert), 1909-1988.</t>
  </si>
  <si>
    <t>London : University of London Press, 1975.</t>
  </si>
  <si>
    <t>2000-07-31</t>
  </si>
  <si>
    <t>154719087:eng</t>
  </si>
  <si>
    <t>2966821</t>
  </si>
  <si>
    <t>991004298529702656</t>
  </si>
  <si>
    <t>2267444600002656</t>
  </si>
  <si>
    <t>9780340188569</t>
  </si>
  <si>
    <t>32285001529246</t>
  </si>
  <si>
    <t>893593524</t>
  </si>
  <si>
    <t>RJ499 .T53</t>
  </si>
  <si>
    <t>0                      RJ 0499000T  53</t>
  </si>
  <si>
    <t>Temperament and behavior disorders in children [by] Alexander Thomas, Stella Chess [and] Herbert G. Birch.</t>
  </si>
  <si>
    <t>Thomas, Alexander, 1914-2003.</t>
  </si>
  <si>
    <t>New York, New York University Press, 1968.</t>
  </si>
  <si>
    <t>1968</t>
  </si>
  <si>
    <t>1360788:eng</t>
  </si>
  <si>
    <t>307279</t>
  </si>
  <si>
    <t>991005257629702656</t>
  </si>
  <si>
    <t>2265675210002656</t>
  </si>
  <si>
    <t>32285003093803</t>
  </si>
  <si>
    <t>893625715</t>
  </si>
  <si>
    <t>RJ499 .T835 1989</t>
  </si>
  <si>
    <t>0                      RJ 0499000T  835         1989</t>
  </si>
  <si>
    <t>Treatment of childhood disorders / edited by Eric J. Mash and Russell A. Barkley.</t>
  </si>
  <si>
    <t>New York : Guilford Press, c1989.</t>
  </si>
  <si>
    <t>1997-05-01</t>
  </si>
  <si>
    <t>1992-03-31</t>
  </si>
  <si>
    <t>1044592449:eng</t>
  </si>
  <si>
    <t>18411120</t>
  </si>
  <si>
    <t>991001343509702656</t>
  </si>
  <si>
    <t>2254795200002656</t>
  </si>
  <si>
    <t>9780898627435</t>
  </si>
  <si>
    <t>32285001007441</t>
  </si>
  <si>
    <t>893602529</t>
  </si>
  <si>
    <t>RJ499 .W4 1970</t>
  </si>
  <si>
    <t>0                      RJ 0499000W  4           1970</t>
  </si>
  <si>
    <t>The story of Sandy / brought up-to-date by Susan Stanhope Wexler.</t>
  </si>
  <si>
    <t>Wexler, Susan Stanhope.</t>
  </si>
  <si>
    <t>[New York] : New American Library, [1970]</t>
  </si>
  <si>
    <t>___</t>
  </si>
  <si>
    <t>2000-11-12</t>
  </si>
  <si>
    <t>1992-01-07</t>
  </si>
  <si>
    <t>1664632:eng</t>
  </si>
  <si>
    <t>971210</t>
  </si>
  <si>
    <t>991003435719702656</t>
  </si>
  <si>
    <t>2256989370002656</t>
  </si>
  <si>
    <t>32285000883453</t>
  </si>
  <si>
    <t>893535467</t>
  </si>
  <si>
    <t>RJ499 .W49 1971</t>
  </si>
  <si>
    <t>0                      RJ 0499000W  49          1971</t>
  </si>
  <si>
    <t>Therapeutic consultations in child psychiatry / [by] D. W. Winnicott.</t>
  </si>
  <si>
    <t>Winnicott, D. W. (Donald Woods), 1896-1971.</t>
  </si>
  <si>
    <t>New York : Basic Books, [1971]</t>
  </si>
  <si>
    <t>1993-09-03</t>
  </si>
  <si>
    <t>8907554466:eng</t>
  </si>
  <si>
    <t>206787</t>
  </si>
  <si>
    <t>991001237449702656</t>
  </si>
  <si>
    <t>2255047440002656</t>
  </si>
  <si>
    <t>9780465085118</t>
  </si>
  <si>
    <t>32285001529279</t>
  </si>
  <si>
    <t>893321766</t>
  </si>
  <si>
    <t>RJ499.A1 C3</t>
  </si>
  <si>
    <t>0                      RJ 0499000A  1                  C  3</t>
  </si>
  <si>
    <t>Prevention of mental disorders in children : initial exploration.</t>
  </si>
  <si>
    <t>New York, Basic Books [1961]</t>
  </si>
  <si>
    <t>1961</t>
  </si>
  <si>
    <t>1999-01-07</t>
  </si>
  <si>
    <t>1997-08-14</t>
  </si>
  <si>
    <t>8907222167:eng</t>
  </si>
  <si>
    <t>14605633</t>
  </si>
  <si>
    <t>991000948899702656</t>
  </si>
  <si>
    <t>2266990080002656</t>
  </si>
  <si>
    <t>32285003093639</t>
  </si>
  <si>
    <t>893696322</t>
  </si>
  <si>
    <t>RJ50 .D47 1983</t>
  </si>
  <si>
    <t>0                      RJ 0050000D  47          1983</t>
  </si>
  <si>
    <t>Detection of developmental problems in children : birth to adolescence / edited by Marilyn J. Krajicek, Alice I. Tearney Tomlinson.</t>
  </si>
  <si>
    <t>1997-03-18</t>
  </si>
  <si>
    <t>374610189:eng</t>
  </si>
  <si>
    <t>8975084</t>
  </si>
  <si>
    <t>991000104939702656</t>
  </si>
  <si>
    <t>2255571200002656</t>
  </si>
  <si>
    <t>9780839117896</t>
  </si>
  <si>
    <t>32285001609642</t>
  </si>
  <si>
    <t>893339283</t>
  </si>
  <si>
    <t>RJ500 .S65</t>
  </si>
  <si>
    <t>0                      RJ 0500000S  65</t>
  </si>
  <si>
    <t>A Social learning approach to family intervention / G. R. Patterson ... [et al.].</t>
  </si>
  <si>
    <t>Eugene, Or. : Castalia Pub. Co., c1975-</t>
  </si>
  <si>
    <t>oru</t>
  </si>
  <si>
    <t>1992-04-22</t>
  </si>
  <si>
    <t>3372717567:eng</t>
  </si>
  <si>
    <t>2072400</t>
  </si>
  <si>
    <t>991005253369702656</t>
  </si>
  <si>
    <t>2255048260002656</t>
  </si>
  <si>
    <t>9780916154103</t>
  </si>
  <si>
    <t>32285001069334</t>
  </si>
  <si>
    <t>893248606</t>
  </si>
  <si>
    <t>RJ500.2 .C48 1984</t>
  </si>
  <si>
    <t>0                      RJ 0500200C  48          1984</t>
  </si>
  <si>
    <t>Children in families under stress / Anna-Beth Doyle, Dolores Gold, Debbie S. Moskowitz, editors.</t>
  </si>
  <si>
    <t>San Francisco : Jossey-Bass, 1984.</t>
  </si>
  <si>
    <t>New directions for child development, 0195-2269 ; no. 24 (June 1984</t>
  </si>
  <si>
    <t>1994-04-23</t>
  </si>
  <si>
    <t>355703908:eng</t>
  </si>
  <si>
    <t>10994399</t>
  </si>
  <si>
    <t>991000468329702656</t>
  </si>
  <si>
    <t>2263451270002656</t>
  </si>
  <si>
    <t>9780875899848</t>
  </si>
  <si>
    <t>32285001529287</t>
  </si>
  <si>
    <t>893689717</t>
  </si>
  <si>
    <t>RJ502.5 .F76 1983</t>
  </si>
  <si>
    <t>0                      RJ 0502500F  76          1983</t>
  </si>
  <si>
    <t>Frontiers of infant psychiatry / Justin D. Call, Eleanor Galenson, Robert L. Tyson, editors.</t>
  </si>
  <si>
    <t>New York : Basic Books, c1983.</t>
  </si>
  <si>
    <t>1998-09-21</t>
  </si>
  <si>
    <t>774099011:eng</t>
  </si>
  <si>
    <t>8552965</t>
  </si>
  <si>
    <t>991000015919702656</t>
  </si>
  <si>
    <t>2257515240002656</t>
  </si>
  <si>
    <t>9780465025855</t>
  </si>
  <si>
    <t>32285001529303</t>
  </si>
  <si>
    <t>893339188</t>
  </si>
  <si>
    <t>RJ502.5 .G73 1981</t>
  </si>
  <si>
    <t>0                      RJ 0502500G  73          1981</t>
  </si>
  <si>
    <t>Psychopathology and adaptation in infancy and early childhood : principles of clinical diagnosis and preventive intervention / by Stanley I. Greenspan.</t>
  </si>
  <si>
    <t>Greenspan, Stanley I.</t>
  </si>
  <si>
    <t>New York : International Universities Press, c1981.</t>
  </si>
  <si>
    <t>Clinical infant reports</t>
  </si>
  <si>
    <t>2007-08-31</t>
  </si>
  <si>
    <t>427656071:eng</t>
  </si>
  <si>
    <t>7947714</t>
  </si>
  <si>
    <t>991005183209702656</t>
  </si>
  <si>
    <t>2270140250002656</t>
  </si>
  <si>
    <t>9780823656608</t>
  </si>
  <si>
    <t>32285001529311</t>
  </si>
  <si>
    <t>893883466</t>
  </si>
  <si>
    <t>RJ502.5 .H36 1993</t>
  </si>
  <si>
    <t>0                      RJ 0502500H  36          1993</t>
  </si>
  <si>
    <t>Handbook of infant mental health / edited by Charles H. Zeanah, Jr.</t>
  </si>
  <si>
    <t>New York : Guilford Press, 1993.</t>
  </si>
  <si>
    <t>2008-10-27</t>
  </si>
  <si>
    <t>1996-11-25</t>
  </si>
  <si>
    <t>1072124247:eng</t>
  </si>
  <si>
    <t>27728604</t>
  </si>
  <si>
    <t>991002152729702656</t>
  </si>
  <si>
    <t>2265947400002656</t>
  </si>
  <si>
    <t>9780898629965</t>
  </si>
  <si>
    <t>32285002385671</t>
  </si>
  <si>
    <t>893316451</t>
  </si>
  <si>
    <t>RJ502.5 .M55 1986</t>
  </si>
  <si>
    <t>0                      RJ 0502500M  55          1986</t>
  </si>
  <si>
    <t>Infant psychiatry : an introductory textbook / by Klaus Minde, Regina Minde.</t>
  </si>
  <si>
    <t>Minde, Klaus, 1933-</t>
  </si>
  <si>
    <t>Beverly Hills : Sage Publications, c1986.</t>
  </si>
  <si>
    <t>Developmental clinical psychology and psychiatry ; v. 4</t>
  </si>
  <si>
    <t>4962589:eng</t>
  </si>
  <si>
    <t>12217139</t>
  </si>
  <si>
    <t>991000657699702656</t>
  </si>
  <si>
    <t>2267853590002656</t>
  </si>
  <si>
    <t>9780803925205</t>
  </si>
  <si>
    <t>32285001529337</t>
  </si>
  <si>
    <t>893884614</t>
  </si>
  <si>
    <t>RJ503 .A314 1984</t>
  </si>
  <si>
    <t>0                      RJ 0503000A  314         1984</t>
  </si>
  <si>
    <t>Adolescent behavior disorders : foundations and contemporary concerns / edited by Paul Karoly, John J. Steffen.</t>
  </si>
  <si>
    <t>Lexington, Mass. : Lexington Books, c1984.</t>
  </si>
  <si>
    <t>Advances in child behavioral analysis and therapy ; v. 3</t>
  </si>
  <si>
    <t>1997-06-11</t>
  </si>
  <si>
    <t>836647840:eng</t>
  </si>
  <si>
    <t>10275671</t>
  </si>
  <si>
    <t>991000343139702656</t>
  </si>
  <si>
    <t>2269111780002656</t>
  </si>
  <si>
    <t>9780669056419</t>
  </si>
  <si>
    <t>32285001529345</t>
  </si>
  <si>
    <t>893784144</t>
  </si>
  <si>
    <t>RJ503 .B36 1988</t>
  </si>
  <si>
    <t>0                      RJ 0503000B  36          1988</t>
  </si>
  <si>
    <t>Behavior disorders of adolescence : research, intervention, and policy in clinical and school settings / edited by Robert J. McMahon and Ray DeV. Peters.</t>
  </si>
  <si>
    <t>Banff International Conference on Behavioural Science (20th : 1988 : Banff, Alta.)</t>
  </si>
  <si>
    <t>New York : Plenum Press, c1990.</t>
  </si>
  <si>
    <t>2006-03-21</t>
  </si>
  <si>
    <t>24220007:eng</t>
  </si>
  <si>
    <t>23015307</t>
  </si>
  <si>
    <t>991001831559702656</t>
  </si>
  <si>
    <t>2262596670002656</t>
  </si>
  <si>
    <t>9780306438134</t>
  </si>
  <si>
    <t>32285001037398</t>
  </si>
  <si>
    <t>893503738</t>
  </si>
  <si>
    <t>RJ503 .B64 2007</t>
  </si>
  <si>
    <t>0                      RJ 0503000B  64          2007</t>
  </si>
  <si>
    <t>When to worry : how to tell if your teen needs help--and what to do about it / Lisa Boesky.</t>
  </si>
  <si>
    <t>Boesky, Lisa Melanie.</t>
  </si>
  <si>
    <t>New York : AMACOM, c2007.</t>
  </si>
  <si>
    <t>2007-08-08</t>
  </si>
  <si>
    <t>2007-07-23</t>
  </si>
  <si>
    <t>802980490:eng</t>
  </si>
  <si>
    <t>78070791</t>
  </si>
  <si>
    <t>991005102889702656</t>
  </si>
  <si>
    <t>2268705310002656</t>
  </si>
  <si>
    <t>9780814473634</t>
  </si>
  <si>
    <t>32285005321434</t>
  </si>
  <si>
    <t>893418372</t>
  </si>
  <si>
    <t>RJ503 .E17</t>
  </si>
  <si>
    <t>0                      RJ 0503000E  17</t>
  </si>
  <si>
    <t>The severely disturbed adolescent; inpatient, residential, and hospital treatment [by] William M. Easson. --</t>
  </si>
  <si>
    <t>Easson, William M., 1931-</t>
  </si>
  <si>
    <t>[New York, International Universities Press, 1969]</t>
  </si>
  <si>
    <t>1994-03-21</t>
  </si>
  <si>
    <t>1993-03-03</t>
  </si>
  <si>
    <t>1145906:eng</t>
  </si>
  <si>
    <t>23694</t>
  </si>
  <si>
    <t>991001761179702656</t>
  </si>
  <si>
    <t>2267666420002656</t>
  </si>
  <si>
    <t>32285001529378</t>
  </si>
  <si>
    <t>893879148</t>
  </si>
  <si>
    <t>RJ503 .H25</t>
  </si>
  <si>
    <t>0                      RJ 0503000H  25</t>
  </si>
  <si>
    <t>Leaving home : the therapy of disturbed young people / Jay Haley.</t>
  </si>
  <si>
    <t>Haley, Jay, 1923-2007.</t>
  </si>
  <si>
    <t>1992-01-03</t>
  </si>
  <si>
    <t>34548238:eng</t>
  </si>
  <si>
    <t>5496301</t>
  </si>
  <si>
    <t>991004840099702656</t>
  </si>
  <si>
    <t>2266183220002656</t>
  </si>
  <si>
    <t>9780070255708</t>
  </si>
  <si>
    <t>32285000882497</t>
  </si>
  <si>
    <t>893235975</t>
  </si>
  <si>
    <t>RJ503 .J662</t>
  </si>
  <si>
    <t>0                      RJ 0503000J  662</t>
  </si>
  <si>
    <t>Adolescents with behavior problems : strategies for teaching, counseling, and parent involvement / Vernon F. Jones.</t>
  </si>
  <si>
    <t>Jones, Vernon F., 1945-</t>
  </si>
  <si>
    <t>Boston : Allyn and Bacon, c1980.</t>
  </si>
  <si>
    <t>Abridged ed.</t>
  </si>
  <si>
    <t>1998-02-17</t>
  </si>
  <si>
    <t>1991-11-08</t>
  </si>
  <si>
    <t>17266493:eng</t>
  </si>
  <si>
    <t>5309875</t>
  </si>
  <si>
    <t>991004815639702656</t>
  </si>
  <si>
    <t>2258077220002656</t>
  </si>
  <si>
    <t>9780205068241</t>
  </si>
  <si>
    <t>32285000821081</t>
  </si>
  <si>
    <t>893782692</t>
  </si>
  <si>
    <t>RJ503 .L48 1984</t>
  </si>
  <si>
    <t>0                      RJ 0503000L  48          1984</t>
  </si>
  <si>
    <t>Adolescent crisis : family counseling approaches / Eva Leveton.</t>
  </si>
  <si>
    <t>Leveton, Eva.</t>
  </si>
  <si>
    <t>New York : Springer Pub. Co., c1984.</t>
  </si>
  <si>
    <t>2008-10-06</t>
  </si>
  <si>
    <t>967136:eng</t>
  </si>
  <si>
    <t>10780058</t>
  </si>
  <si>
    <t>991000432889702656</t>
  </si>
  <si>
    <t>2255292850002656</t>
  </si>
  <si>
    <t>9780826145000</t>
  </si>
  <si>
    <t>32285001529394</t>
  </si>
  <si>
    <t>893714578</t>
  </si>
  <si>
    <t>RJ503 .L56</t>
  </si>
  <si>
    <t>0                      RJ 0503000L  56</t>
  </si>
  <si>
    <t>Children of the asylum : the adolescent perspective on residential psychiatric treatment / by Duncan Lindsey. --</t>
  </si>
  <si>
    <t>Lindsey, Duncan, 1947-</t>
  </si>
  <si>
    <t>Oceanside, N.Y. : Dabor Science Publications, 1977.</t>
  </si>
  <si>
    <t>916514378:eng</t>
  </si>
  <si>
    <t>3414562</t>
  </si>
  <si>
    <t>991004429029702656</t>
  </si>
  <si>
    <t>2260119900002656</t>
  </si>
  <si>
    <t>9780895610416</t>
  </si>
  <si>
    <t>32285001529402</t>
  </si>
  <si>
    <t>893782230</t>
  </si>
  <si>
    <t>RJ503 .M3 1984</t>
  </si>
  <si>
    <t>0                      RJ 0503000M  3           1984</t>
  </si>
  <si>
    <t>The psychiatric dilemma of adolescence / James F. Masterson, Jr.</t>
  </si>
  <si>
    <t>Masterson, James F.</t>
  </si>
  <si>
    <t>2000-08-15</t>
  </si>
  <si>
    <t>2032289:eng</t>
  </si>
  <si>
    <t>10185352</t>
  </si>
  <si>
    <t>991000328669702656</t>
  </si>
  <si>
    <t>2267589330002656</t>
  </si>
  <si>
    <t>9780876303566</t>
  </si>
  <si>
    <t>32285001529410</t>
  </si>
  <si>
    <t>893877954</t>
  </si>
  <si>
    <t>RJ503 .M32</t>
  </si>
  <si>
    <t>0                      RJ 0503000M  32</t>
  </si>
  <si>
    <t>Treatment of the borderline adolescent; a developmental approach [by] James F. Masterson.</t>
  </si>
  <si>
    <t>New York, Wiley-Interscience [1972]</t>
  </si>
  <si>
    <t>1386603:eng</t>
  </si>
  <si>
    <t>241381</t>
  </si>
  <si>
    <t>991001908309702656</t>
  </si>
  <si>
    <t>2269972540002656</t>
  </si>
  <si>
    <t>9780471576150</t>
  </si>
  <si>
    <t>32285003093910</t>
  </si>
  <si>
    <t>893691018</t>
  </si>
  <si>
    <t>RJ503 .M495 1998</t>
  </si>
  <si>
    <t>0                      RJ 0503000M  495         1998</t>
  </si>
  <si>
    <t>The adolescent in family therapy : breaking the cycle of conflict and control / Joseph A. Micucci.</t>
  </si>
  <si>
    <t>Micucci, Joseph A.</t>
  </si>
  <si>
    <t>New York : Guildford Press, c1998.</t>
  </si>
  <si>
    <t>The Guilford family therapy series</t>
  </si>
  <si>
    <t>2006-04-23</t>
  </si>
  <si>
    <t>1999-08-31</t>
  </si>
  <si>
    <t>836975265:eng</t>
  </si>
  <si>
    <t>39625088</t>
  </si>
  <si>
    <t>991002961819702656</t>
  </si>
  <si>
    <t>2264182330002656</t>
  </si>
  <si>
    <t>9781572303898</t>
  </si>
  <si>
    <t>32285003585451</t>
  </si>
  <si>
    <t>893329772</t>
  </si>
  <si>
    <t>RJ503 .M57 1986</t>
  </si>
  <si>
    <t>0                      RJ 0503000M  57          1986</t>
  </si>
  <si>
    <t>Clinical work with adolescents / Judith Marks Mishne.</t>
  </si>
  <si>
    <t>Mishne, Judith Marks.</t>
  </si>
  <si>
    <t>New York : Free Press ; London : Collier Macmillan Publishers, c1986.</t>
  </si>
  <si>
    <t>1992-04-20</t>
  </si>
  <si>
    <t>7356523:eng</t>
  </si>
  <si>
    <t>13823544</t>
  </si>
  <si>
    <t>991000880499702656</t>
  </si>
  <si>
    <t>2265513820002656</t>
  </si>
  <si>
    <t>9780029212608</t>
  </si>
  <si>
    <t>32285001044360</t>
  </si>
  <si>
    <t>893790945</t>
  </si>
  <si>
    <t>RJ503 .N53 1983</t>
  </si>
  <si>
    <t>0                      RJ 0503000N  53          1983</t>
  </si>
  <si>
    <t>Borderline and acting-out adolescents : a developmental approach / Gary Nielsen.</t>
  </si>
  <si>
    <t>Nielsen, Gary E., 1939-</t>
  </si>
  <si>
    <t>New York, N.Y. : Human Sciences Press, c1983.</t>
  </si>
  <si>
    <t>1998-10-31</t>
  </si>
  <si>
    <t>1992-10-23</t>
  </si>
  <si>
    <t>917101292:eng</t>
  </si>
  <si>
    <t>8033439</t>
  </si>
  <si>
    <t>991005194069702656</t>
  </si>
  <si>
    <t>2269574380002656</t>
  </si>
  <si>
    <t>9780898851090</t>
  </si>
  <si>
    <t>32285001375533</t>
  </si>
  <si>
    <t>893326340</t>
  </si>
  <si>
    <t>RJ503 .R63 1989</t>
  </si>
  <si>
    <t>0                      RJ 0503000R  63          1989</t>
  </si>
  <si>
    <t>Negotiating parent-adolescent conflict : a behavioral-family systems approach / Arthur L. Robin, Sharon L. Foster ; foreword by K. Daniel O'Leary.</t>
  </si>
  <si>
    <t>Robin, Arthur L.</t>
  </si>
  <si>
    <t>1991-05-22</t>
  </si>
  <si>
    <t>889733251:eng</t>
  </si>
  <si>
    <t>17200123</t>
  </si>
  <si>
    <t>991001184019702656</t>
  </si>
  <si>
    <t>2256975610002656</t>
  </si>
  <si>
    <t>9780898620726</t>
  </si>
  <si>
    <t>32285000574615</t>
  </si>
  <si>
    <t>893438947</t>
  </si>
  <si>
    <t>RJ503 .S36</t>
  </si>
  <si>
    <t>0                      RJ 0503000S  36</t>
  </si>
  <si>
    <t>Counseling the adolescent [by] Alexander A. Schneiders and contributors.</t>
  </si>
  <si>
    <t>Schneiders, Alexander A. (Alexander Aloysius), 1909-1968.</t>
  </si>
  <si>
    <t>San Francisco, Chandler Pub. Co. [1967]</t>
  </si>
  <si>
    <t>2008-11-07</t>
  </si>
  <si>
    <t>1645135:eng</t>
  </si>
  <si>
    <t>611036</t>
  </si>
  <si>
    <t>991003051489702656</t>
  </si>
  <si>
    <t>2265282080002656</t>
  </si>
  <si>
    <t>32285003093928</t>
  </si>
  <si>
    <t>893786922</t>
  </si>
  <si>
    <t>RJ503 .S77 2003</t>
  </si>
  <si>
    <t>0                      RJ 0503000S  77          2003</t>
  </si>
  <si>
    <t>The primal teen : what the new discoveries about the teenage brain tell us about our kids / Barbara Strauch.</t>
  </si>
  <si>
    <t>Strauch, Barbara.</t>
  </si>
  <si>
    <t>New York : Doubleday, 2003.</t>
  </si>
  <si>
    <t>2010-11-10</t>
  </si>
  <si>
    <t>2003-07-16</t>
  </si>
  <si>
    <t>3901880649:eng</t>
  </si>
  <si>
    <t>50960782</t>
  </si>
  <si>
    <t>991004078439702656</t>
  </si>
  <si>
    <t>2256144880002656</t>
  </si>
  <si>
    <t>9780385503396</t>
  </si>
  <si>
    <t>32285004755871</t>
  </si>
  <si>
    <t>893618210</t>
  </si>
  <si>
    <t>RJ503 .T44</t>
  </si>
  <si>
    <t>0                      RJ 0503000T  44</t>
  </si>
  <si>
    <t>Therapies for adolescents : current treatments for problem behaviors / Michael D. Stein, J. Kent Davis.</t>
  </si>
  <si>
    <t>San Francisco : Jossey-Bass, c1982.</t>
  </si>
  <si>
    <t>Guidebooks for therapeutic use</t>
  </si>
  <si>
    <t>1996-04-23</t>
  </si>
  <si>
    <t>1992-04-13</t>
  </si>
  <si>
    <t>349156268:eng</t>
  </si>
  <si>
    <t>8034321</t>
  </si>
  <si>
    <t>991005194639702656</t>
  </si>
  <si>
    <t>2266995630002656</t>
  </si>
  <si>
    <t>9780875895130</t>
  </si>
  <si>
    <t>32285001058758</t>
  </si>
  <si>
    <t>893902274</t>
  </si>
  <si>
    <t>RJ503 .T74 1996</t>
  </si>
  <si>
    <t>0                      RJ 0503000T  74          1996</t>
  </si>
  <si>
    <t>Treating adolescents / Hans Steiner, editor ; Irvin D. Yalom, general editor.</t>
  </si>
  <si>
    <t>San Francisco : Jossey-Bass Publishers, c1996.</t>
  </si>
  <si>
    <t>The Jossey-Bass library of current clinical technique</t>
  </si>
  <si>
    <t>2010-10-06</t>
  </si>
  <si>
    <t>2001-11-28</t>
  </si>
  <si>
    <t>503579938:eng</t>
  </si>
  <si>
    <t>33242944</t>
  </si>
  <si>
    <t>991003662119702656</t>
  </si>
  <si>
    <t>2254923750002656</t>
  </si>
  <si>
    <t>9780787902063</t>
  </si>
  <si>
    <t>32285004414370</t>
  </si>
  <si>
    <t>893348970</t>
  </si>
  <si>
    <t>RJ503 .W4</t>
  </si>
  <si>
    <t>0                      RJ 0503000W  4</t>
  </si>
  <si>
    <t>Psychological disturbance in adolescence [by] Irving B. Weiner.</t>
  </si>
  <si>
    <t>Weiner, Irving B.</t>
  </si>
  <si>
    <t>New York, Wiley-Interscience [1970]</t>
  </si>
  <si>
    <t>1221065:eng</t>
  </si>
  <si>
    <t>60334</t>
  </si>
  <si>
    <t>991000154119702656</t>
  </si>
  <si>
    <t>2271524520002656</t>
  </si>
  <si>
    <t>9780471925682</t>
  </si>
  <si>
    <t>32285003093944</t>
  </si>
  <si>
    <t>893884170</t>
  </si>
  <si>
    <t>RJ503 .W48 1989</t>
  </si>
  <si>
    <t>0                      RJ 0503000W  48          1989</t>
  </si>
  <si>
    <t>The troubled adolescent / Joseph L. White.</t>
  </si>
  <si>
    <t>White, Joseph L., 1932-2017.</t>
  </si>
  <si>
    <t>New York : Pergamon Press, c1989.</t>
  </si>
  <si>
    <t>Pergamon general psychology series ; PGPS-158</t>
  </si>
  <si>
    <t>1997-10-25</t>
  </si>
  <si>
    <t>1990-05-08</t>
  </si>
  <si>
    <t>18357599:eng</t>
  </si>
  <si>
    <t>18908463</t>
  </si>
  <si>
    <t>991001412129702656</t>
  </si>
  <si>
    <t>2255601490002656</t>
  </si>
  <si>
    <t>9780080368191</t>
  </si>
  <si>
    <t>32285000135771</t>
  </si>
  <si>
    <t>893315764</t>
  </si>
  <si>
    <t>RJ503.3 .S26</t>
  </si>
  <si>
    <t>0                      RJ 0503300S  26</t>
  </si>
  <si>
    <t>A biodevelopmental approach to clinical child psychology : cognitive controls and cognitive control therapy / Sebastiano Santostefano.</t>
  </si>
  <si>
    <t>Santostefano, Sebastiano, 1929-</t>
  </si>
  <si>
    <t>New York : Wiley, c1978.</t>
  </si>
  <si>
    <t>1997-06-24</t>
  </si>
  <si>
    <t>366263550:eng</t>
  </si>
  <si>
    <t>4004734</t>
  </si>
  <si>
    <t>991004566799702656</t>
  </si>
  <si>
    <t>2264991180002656</t>
  </si>
  <si>
    <t>9780471753803</t>
  </si>
  <si>
    <t>32285001529451</t>
  </si>
  <si>
    <t>893788866</t>
  </si>
  <si>
    <t>RJ503.5 .A33 1997</t>
  </si>
  <si>
    <t>0                      RJ 0503500A  33          1997</t>
  </si>
  <si>
    <t>Empirically based assessment of child and adolescent psychopathology : practical applications / Thomas M. Achenbach, Stephanie H. McConaughy.</t>
  </si>
  <si>
    <t>Thousand Oaks, Calif. : Sage Publications, c1997.</t>
  </si>
  <si>
    <t>Developmental clinical psychology and psychiatry ; vol. 13</t>
  </si>
  <si>
    <t>2001-01-08</t>
  </si>
  <si>
    <t>10200881:eng</t>
  </si>
  <si>
    <t>34745916</t>
  </si>
  <si>
    <t>991003335369702656</t>
  </si>
  <si>
    <t>2265208240002656</t>
  </si>
  <si>
    <t>9780803972476</t>
  </si>
  <si>
    <t>32285004280813</t>
  </si>
  <si>
    <t>893240112</t>
  </si>
  <si>
    <t>RJ503.5 .A85 1988</t>
  </si>
  <si>
    <t>0                      RJ 0503500A  85          1988</t>
  </si>
  <si>
    <t>Assessment and diagnosis in child psychopathology / edited by Michael Rutter, A. Hussain Tuma, Irma S. Lann.</t>
  </si>
  <si>
    <t>New York : Guilford Press, 1988.</t>
  </si>
  <si>
    <t>1992-04-08</t>
  </si>
  <si>
    <t>353610112:eng</t>
  </si>
  <si>
    <t>15793449</t>
  </si>
  <si>
    <t>991001065929702656</t>
  </si>
  <si>
    <t>2261259870002656</t>
  </si>
  <si>
    <t>9780898626995</t>
  </si>
  <si>
    <t>32285001065894</t>
  </si>
  <si>
    <t>893715139</t>
  </si>
  <si>
    <t>RJ503.5 .B43 1988</t>
  </si>
  <si>
    <t>0                      RJ 0503500B  43          1988</t>
  </si>
  <si>
    <t>Behavioral assessment of childhood disorders / edited by Eric J. Mash and Leif G. Terdal.</t>
  </si>
  <si>
    <t>New York : Guilford Press, c1988.</t>
  </si>
  <si>
    <t>1996-11-07</t>
  </si>
  <si>
    <t>350797465:eng</t>
  </si>
  <si>
    <t>14413197</t>
  </si>
  <si>
    <t>991000941759702656</t>
  </si>
  <si>
    <t>2266356350002656</t>
  </si>
  <si>
    <t>9780898621433</t>
  </si>
  <si>
    <t>32285001471662</t>
  </si>
  <si>
    <t>893315381</t>
  </si>
  <si>
    <t>RJ503.5 .C48 1992</t>
  </si>
  <si>
    <t>0                      RJ 0503500C  48          1992</t>
  </si>
  <si>
    <t>Child psychopathology : diagnostic criteria and clinical assessment / edited by Stephen R. Hooper, George W. Hynd, Richard E. Mattison.</t>
  </si>
  <si>
    <t>Hillsdale, N.J. : L. Erlbaum, 1992.</t>
  </si>
  <si>
    <t>1999-02-27</t>
  </si>
  <si>
    <t>1993-01-26</t>
  </si>
  <si>
    <t>356137488:eng</t>
  </si>
  <si>
    <t>23017285</t>
  </si>
  <si>
    <t>991001832719702656</t>
  </si>
  <si>
    <t>2266320460002656</t>
  </si>
  <si>
    <t>9780805803280</t>
  </si>
  <si>
    <t>32285001448058</t>
  </si>
  <si>
    <t>893244447</t>
  </si>
  <si>
    <t>RJ503.5 .M4 1996</t>
  </si>
  <si>
    <t>0                      RJ 0503500M  4           1996</t>
  </si>
  <si>
    <t>New visions for the developmental assessment of infants and young children / Samuel J. Meisels and Emily Fenichel, editors.</t>
  </si>
  <si>
    <t>Meisels, Samuel J.</t>
  </si>
  <si>
    <t>Washington, D.C. : Zero to Three/National Center for Infants, Toddlers, and Families, c1996.</t>
  </si>
  <si>
    <t>2008-11-17</t>
  </si>
  <si>
    <t>1996-09-30</t>
  </si>
  <si>
    <t>474750171:eng</t>
  </si>
  <si>
    <t>35617662</t>
  </si>
  <si>
    <t>991002714349702656</t>
  </si>
  <si>
    <t>2272277430002656</t>
  </si>
  <si>
    <t>9780943657356</t>
  </si>
  <si>
    <t>32285002321106</t>
  </si>
  <si>
    <t>893440425</t>
  </si>
  <si>
    <t>RJ504 .B45</t>
  </si>
  <si>
    <t>0                      RJ 0504000B  45</t>
  </si>
  <si>
    <t>Behavioral consultation / John R. Bergan.</t>
  </si>
  <si>
    <t>Bergan, John R., 1931-</t>
  </si>
  <si>
    <t>Columbus, Ohio : Merrill, c1977.</t>
  </si>
  <si>
    <t>1999-06-02</t>
  </si>
  <si>
    <t>1990-07-06</t>
  </si>
  <si>
    <t>431144:eng</t>
  </si>
  <si>
    <t>3275505</t>
  </si>
  <si>
    <t>991004394919702656</t>
  </si>
  <si>
    <t>2255512120002656</t>
  </si>
  <si>
    <t>9780675084888</t>
  </si>
  <si>
    <t>32285000204635</t>
  </si>
  <si>
    <t>893319168</t>
  </si>
  <si>
    <t>RJ504 .B753 1999</t>
  </si>
  <si>
    <t>0                      RJ 0504000B  753         1999</t>
  </si>
  <si>
    <t>Doing child and adolescent psychotherapy : the ways and whys / Richard Bromfield.</t>
  </si>
  <si>
    <t>Bromfield, Richard.</t>
  </si>
  <si>
    <t>Northvale, NJ : Jason Aronson, c1999.</t>
  </si>
  <si>
    <t>2003-03-28</t>
  </si>
  <si>
    <t>2001-04-16</t>
  </si>
  <si>
    <t>292612793:eng</t>
  </si>
  <si>
    <t>40698508</t>
  </si>
  <si>
    <t>991003488509702656</t>
  </si>
  <si>
    <t>2264510250002656</t>
  </si>
  <si>
    <t>9780765702203</t>
  </si>
  <si>
    <t>32285004312335</t>
  </si>
  <si>
    <t>893318027</t>
  </si>
  <si>
    <t>RJ504 .D54 1979</t>
  </si>
  <si>
    <t>0                      RJ 0504000D  54          1979</t>
  </si>
  <si>
    <t>Group counseling : theory &amp; practice / Don C. Dinkmeyer, James J. Muro.</t>
  </si>
  <si>
    <t>Dinkmeyer, Don C.</t>
  </si>
  <si>
    <t>Itasca, Ill. : F. E. Peacock, 1979.</t>
  </si>
  <si>
    <t>2006-02-13</t>
  </si>
  <si>
    <t>1992-03-24</t>
  </si>
  <si>
    <t>364175129:eng</t>
  </si>
  <si>
    <t>4975358</t>
  </si>
  <si>
    <t>991004757389702656</t>
  </si>
  <si>
    <t>2270432910002656</t>
  </si>
  <si>
    <t>9780875812069</t>
  </si>
  <si>
    <t>32285001004208</t>
  </si>
  <si>
    <t>893424162</t>
  </si>
  <si>
    <t>RJ504 .F7 1964</t>
  </si>
  <si>
    <t>0                      RJ 0504000F  7           1964</t>
  </si>
  <si>
    <t>The psychoanalytical treatment of children : lectures and essays / by Anna Freud. [Pts. 1 and 2 were translated from the German by Nancy Proctor-Gregg]</t>
  </si>
  <si>
    <t>Freud, Anna, 1895-1982.</t>
  </si>
  <si>
    <t>New York : Schocken Books, [1964, c1946]</t>
  </si>
  <si>
    <t>Schocken paperbacks ; SB84</t>
  </si>
  <si>
    <t>2009-03-11</t>
  </si>
  <si>
    <t>2000-02-02</t>
  </si>
  <si>
    <t>3860323783:eng</t>
  </si>
  <si>
    <t>242537</t>
  </si>
  <si>
    <t>991001912119702656</t>
  </si>
  <si>
    <t>2269587930002656</t>
  </si>
  <si>
    <t>32285003658373</t>
  </si>
  <si>
    <t>893879291</t>
  </si>
  <si>
    <t>RJ504 .J63 1986</t>
  </si>
  <si>
    <t>0                      RJ 0504000J  63          1986</t>
  </si>
  <si>
    <t>Approaches to child treatment : introduction to theory, research, and practice / James H. Johnson, Wiley C. Rasbury, Lawrence J. Siegel.</t>
  </si>
  <si>
    <t>Johnson, James H. (James Harmon), 1943-</t>
  </si>
  <si>
    <t>Pergamon general psychology series ; 138</t>
  </si>
  <si>
    <t>1997-04-28</t>
  </si>
  <si>
    <t>5865437:eng</t>
  </si>
  <si>
    <t>13186232</t>
  </si>
  <si>
    <t>991000795929702656</t>
  </si>
  <si>
    <t>2255650120002656</t>
  </si>
  <si>
    <t>9780080336299</t>
  </si>
  <si>
    <t>32285000821073</t>
  </si>
  <si>
    <t>893237611</t>
  </si>
  <si>
    <t>RJ504 .K35 1979</t>
  </si>
  <si>
    <t>0                      RJ 0504000K  35          1979</t>
  </si>
  <si>
    <t>Giant steps / Barry Neil Kaufman.</t>
  </si>
  <si>
    <t>Kaufman, Barry Neil.</t>
  </si>
  <si>
    <t>New York : Coward, McCann &amp; Geoghegan, c1979.</t>
  </si>
  <si>
    <t>1995-01-17</t>
  </si>
  <si>
    <t>443495:eng</t>
  </si>
  <si>
    <t>4496039</t>
  </si>
  <si>
    <t>991004658489702656</t>
  </si>
  <si>
    <t>2268669210002656</t>
  </si>
  <si>
    <t>9780698109568</t>
  </si>
  <si>
    <t>32285001529485</t>
  </si>
  <si>
    <t>893618925</t>
  </si>
  <si>
    <t>RJ504 .P68 1983</t>
  </si>
  <si>
    <t>0                      RJ 0504000P  68          1983</t>
  </si>
  <si>
    <t>The Practice of child therapy / edited by Richard J. Morris, Thomas R. Kratochwill.</t>
  </si>
  <si>
    <t>New York : Pergamon Press, c1983.</t>
  </si>
  <si>
    <t>Pergamon general psychology series ; vol. 124</t>
  </si>
  <si>
    <t>1991-10-28</t>
  </si>
  <si>
    <t>4927333139:eng</t>
  </si>
  <si>
    <t>9197484</t>
  </si>
  <si>
    <t>991000149539702656</t>
  </si>
  <si>
    <t>2266013220002656</t>
  </si>
  <si>
    <t>9780080280325</t>
  </si>
  <si>
    <t>32285000802123</t>
  </si>
  <si>
    <t>893902911</t>
  </si>
  <si>
    <t>RJ504 .P75 2005</t>
  </si>
  <si>
    <t>0                      RJ 0504000P  75          2005</t>
  </si>
  <si>
    <t>Psychosocial treatments for child and adolescent disorders : empirically based strategies for clinical practice / edited by Euthymia D. Hibbs and Peter S. Jensen.</t>
  </si>
  <si>
    <t>Washington, DC : American Psychological Association, c2005.</t>
  </si>
  <si>
    <t>2005</t>
  </si>
  <si>
    <t>2010-02-22</t>
  </si>
  <si>
    <t>2007-04-12</t>
  </si>
  <si>
    <t>1078121337:eng</t>
  </si>
  <si>
    <t>55679952</t>
  </si>
  <si>
    <t>991005052789702656</t>
  </si>
  <si>
    <t>2258828040002656</t>
  </si>
  <si>
    <t>9781591470922</t>
  </si>
  <si>
    <t>32285005286546</t>
  </si>
  <si>
    <t>893443324</t>
  </si>
  <si>
    <t>RJ504 .R44 1993</t>
  </si>
  <si>
    <t>0                      RJ 0504000R  44          1993</t>
  </si>
  <si>
    <t>Principles of psychotherapy with children / John M. Reisman, Sheila Ribordy.</t>
  </si>
  <si>
    <t>Reisman, John M.</t>
  </si>
  <si>
    <t>New York : Lexington Books ; Toronto : Maxwell Macmillan Canada ; New York : Maxwell Macmillan International, c1993.</t>
  </si>
  <si>
    <t>Scientific foundations of clinical and counseling psychology</t>
  </si>
  <si>
    <t>1996-11-08</t>
  </si>
  <si>
    <t>1994-02-07</t>
  </si>
  <si>
    <t>345407:eng</t>
  </si>
  <si>
    <t>27974730</t>
  </si>
  <si>
    <t>991002173029702656</t>
  </si>
  <si>
    <t>2262019980002656</t>
  </si>
  <si>
    <t>9780669280555</t>
  </si>
  <si>
    <t>32285001840536</t>
  </si>
  <si>
    <t>893792103</t>
  </si>
  <si>
    <t>RJ504 .S3</t>
  </si>
  <si>
    <t>0                      RJ 0504000S  3</t>
  </si>
  <si>
    <t>Therapies for children / Charles E. Schaefer, Howard L. Millman.</t>
  </si>
  <si>
    <t>Schaefer, Charles E.</t>
  </si>
  <si>
    <t>San Francisco : Jossey-Bass Publishers, 1977.</t>
  </si>
  <si>
    <t>The Jossey-Bass behavioral science series</t>
  </si>
  <si>
    <t>1992-07-20</t>
  </si>
  <si>
    <t>532578:eng</t>
  </si>
  <si>
    <t>4136931</t>
  </si>
  <si>
    <t>991004595899702656</t>
  </si>
  <si>
    <t>2257877050002656</t>
  </si>
  <si>
    <t>9780875893372</t>
  </si>
  <si>
    <t>32285001211712</t>
  </si>
  <si>
    <t>893325537</t>
  </si>
  <si>
    <t>RJ504 .W35 1993</t>
  </si>
  <si>
    <t>0                      RJ 0504000W  35          1993</t>
  </si>
  <si>
    <t>Effects of psychotherapy with children and adolescents / John R. Weisz, Bahr Weiss.</t>
  </si>
  <si>
    <t>Weisz, John R.</t>
  </si>
  <si>
    <t>Newbury Park : Sage Publications, c1993.</t>
  </si>
  <si>
    <t>Developmental clinical psychology and psychiatry ; v. 27</t>
  </si>
  <si>
    <t>2000-10-10</t>
  </si>
  <si>
    <t>1995-05-31</t>
  </si>
  <si>
    <t>29941433:eng</t>
  </si>
  <si>
    <t>26895455</t>
  </si>
  <si>
    <t>991002097229702656</t>
  </si>
  <si>
    <t>2270690640002656</t>
  </si>
  <si>
    <t>9780803943889</t>
  </si>
  <si>
    <t>32285002048253</t>
  </si>
  <si>
    <t>893809305</t>
  </si>
  <si>
    <t>RJ504.5 .A77 1993</t>
  </si>
  <si>
    <t>0                      RJ 0504500A  77          1993</t>
  </si>
  <si>
    <t>And they call it help : the psychiatric policing of America's children / Louise Armstrong.</t>
  </si>
  <si>
    <t>Armstrong, Louise, 1937-2008.</t>
  </si>
  <si>
    <t>Reading, Mass. : Addison-Wesley, c1993.</t>
  </si>
  <si>
    <t>1994-01-26</t>
  </si>
  <si>
    <t>1993-08-25</t>
  </si>
  <si>
    <t>476452132:eng</t>
  </si>
  <si>
    <t>26762720</t>
  </si>
  <si>
    <t>991002085129702656</t>
  </si>
  <si>
    <t>2266860740002656</t>
  </si>
  <si>
    <t>9780201577945</t>
  </si>
  <si>
    <t>32285001728376</t>
  </si>
  <si>
    <t>893885827</t>
  </si>
  <si>
    <t>RJ504.5 .B47 1974</t>
  </si>
  <si>
    <t>0                      RJ 0504500B  47          1974</t>
  </si>
  <si>
    <t>A home for the heart.</t>
  </si>
  <si>
    <t>Bettelheim, Bruno.</t>
  </si>
  <si>
    <t>New York, Knopf, 1974.</t>
  </si>
  <si>
    <t>1990-01-28</t>
  </si>
  <si>
    <t>180704:eng</t>
  </si>
  <si>
    <t>700655</t>
  </si>
  <si>
    <t>991001790639702656</t>
  </si>
  <si>
    <t>2256605960002656</t>
  </si>
  <si>
    <t>9780394483771</t>
  </si>
  <si>
    <t>32285003094082</t>
  </si>
  <si>
    <t>893715728</t>
  </si>
  <si>
    <t>RJ504.5 .P78 1982</t>
  </si>
  <si>
    <t>0                      RJ 0504500P  78          1982</t>
  </si>
  <si>
    <t>Psychiatric hospitalization of children / edited by Jerome L. Schulman and Martin Irwin ; illustrated by Monica Freeman.</t>
  </si>
  <si>
    <t>1997-03-07</t>
  </si>
  <si>
    <t>1992-11-23</t>
  </si>
  <si>
    <t>472566:eng</t>
  </si>
  <si>
    <t>8283656</t>
  </si>
  <si>
    <t>991005227129702656</t>
  </si>
  <si>
    <t>2268502110002656</t>
  </si>
  <si>
    <t>9780398046866</t>
  </si>
  <si>
    <t>32285001407971</t>
  </si>
  <si>
    <t>893536487</t>
  </si>
  <si>
    <t>RJ504.55 .P75 1991</t>
  </si>
  <si>
    <t>0                      RJ 0504550P  75          1991</t>
  </si>
  <si>
    <t>Program standards for treatment foster care / [by Brad Bryant and Robert Snodgrass].</t>
  </si>
  <si>
    <t>New York, N.Y. : Foster Family-based Treatment Association, 1991.</t>
  </si>
  <si>
    <t>1994-11-22</t>
  </si>
  <si>
    <t>1993-10-12</t>
  </si>
  <si>
    <t>476546563:eng</t>
  </si>
  <si>
    <t>27756500</t>
  </si>
  <si>
    <t>991002153279702656</t>
  </si>
  <si>
    <t>2259771380002656</t>
  </si>
  <si>
    <t>32285001800258</t>
  </si>
  <si>
    <t>893347173</t>
  </si>
  <si>
    <t>RJ504.7 .C36 1985</t>
  </si>
  <si>
    <t>0                      RJ 0504700C  36          1985</t>
  </si>
  <si>
    <t>Child and adolescent psychopharmacology / Magda Campbell, Wayne H. Green, Stephen I. Deutsch.</t>
  </si>
  <si>
    <t>Campbell, Magda.</t>
  </si>
  <si>
    <t>Developmental clinical psychology and psychiatry ; v. 2</t>
  </si>
  <si>
    <t>4378831:eng</t>
  </si>
  <si>
    <t>11812328</t>
  </si>
  <si>
    <t>991000595279702656</t>
  </si>
  <si>
    <t>2259954990002656</t>
  </si>
  <si>
    <t>9780803924642</t>
  </si>
  <si>
    <t>32285001529543</t>
  </si>
  <si>
    <t>893903083</t>
  </si>
  <si>
    <t>RJ504.7 .D78</t>
  </si>
  <si>
    <t>0                      RJ 0504700D  78</t>
  </si>
  <si>
    <t>Drugs and the special child / edited by Michael Jay Cohen.</t>
  </si>
  <si>
    <t>1999-03-16</t>
  </si>
  <si>
    <t>54179330:eng</t>
  </si>
  <si>
    <t>3168591</t>
  </si>
  <si>
    <t>991004363929702656</t>
  </si>
  <si>
    <t>2263059380002656</t>
  </si>
  <si>
    <t>9780470992784</t>
  </si>
  <si>
    <t>32285001054641</t>
  </si>
  <si>
    <t>893253605</t>
  </si>
  <si>
    <t>RJ504.7 .G33 1986</t>
  </si>
  <si>
    <t>0                      RJ 0504700G  33          1986</t>
  </si>
  <si>
    <t>Children on medication / Kenneth D. Gadow.</t>
  </si>
  <si>
    <t>Gadow, Kenneth D.</t>
  </si>
  <si>
    <t>San Diego, CA : College-Hill Press, c1986-</t>
  </si>
  <si>
    <t>1992-04-21</t>
  </si>
  <si>
    <t>1999-03-15</t>
  </si>
  <si>
    <t>1990-08-14</t>
  </si>
  <si>
    <t>5366813:eng</t>
  </si>
  <si>
    <t>12803412</t>
  </si>
  <si>
    <t>991000741569702656</t>
  </si>
  <si>
    <t>2259371240002656</t>
  </si>
  <si>
    <t>9780933014046</t>
  </si>
  <si>
    <t>32285000274125</t>
  </si>
  <si>
    <t>893778199</t>
  </si>
  <si>
    <t>32285000274117</t>
  </si>
  <si>
    <t>893778200</t>
  </si>
  <si>
    <t>RJ504.7 .P79</t>
  </si>
  <si>
    <t>0                      RJ 0504700P  79</t>
  </si>
  <si>
    <t>Psychopharmacology in childhood and adolescence / edited by Jerry M. Wiener.</t>
  </si>
  <si>
    <t>New York : Basic Books, c1977.</t>
  </si>
  <si>
    <t>1994-02-16</t>
  </si>
  <si>
    <t>54166954:eng</t>
  </si>
  <si>
    <t>2985389</t>
  </si>
  <si>
    <t>991004308319702656</t>
  </si>
  <si>
    <t>2261915340002656</t>
  </si>
  <si>
    <t>9780465067442</t>
  </si>
  <si>
    <t>32285000219054</t>
  </si>
  <si>
    <t>893331429</t>
  </si>
  <si>
    <t>RJ505.A7 B47</t>
  </si>
  <si>
    <t>0                      RJ 0505000A  7                  B  47</t>
  </si>
  <si>
    <t>Self-discovery through self-expression; use of art in psychotherapy with children and adolescents. Foreword by Bernard I. Levy.</t>
  </si>
  <si>
    <t>Betensky, Mala Gitlin, 1911-</t>
  </si>
  <si>
    <t>Springfield, Ill., Thomas [1973]</t>
  </si>
  <si>
    <t>1999-12-05</t>
  </si>
  <si>
    <t>894519360:eng</t>
  </si>
  <si>
    <t>702829</t>
  </si>
  <si>
    <t>991003164519702656</t>
  </si>
  <si>
    <t>2258188150002656</t>
  </si>
  <si>
    <t>9780398025748</t>
  </si>
  <si>
    <t>32285001211720</t>
  </si>
  <si>
    <t>893511623</t>
  </si>
  <si>
    <t>RJ505.A7 F87 1982</t>
  </si>
  <si>
    <t>0                      RJ 0505000A  7                  F  87          1982</t>
  </si>
  <si>
    <t>Art therapy activities and lesson plans for individuals and groups : a practical guide for teachers, therapists, parents, and those interested in promoting personal growth in themselves and others / by P.J. Fürrer.</t>
  </si>
  <si>
    <t>Fürrer, P. J. (Pamela J.)</t>
  </si>
  <si>
    <t>2008-09-23</t>
  </si>
  <si>
    <t>471214387:eng</t>
  </si>
  <si>
    <t>9019464</t>
  </si>
  <si>
    <t>991000113819702656</t>
  </si>
  <si>
    <t>2259222620002656</t>
  </si>
  <si>
    <t>9780398047993</t>
  </si>
  <si>
    <t>32285001569200</t>
  </si>
  <si>
    <t>893626203</t>
  </si>
  <si>
    <t>RJ505.A7 H4</t>
  </si>
  <si>
    <t>0                      RJ 0505000A  7                  H  4</t>
  </si>
  <si>
    <t>Helping through action : action-oriented therapies / edited by Eileen T. Nickerson and Kay S. O'Laughlin.</t>
  </si>
  <si>
    <t>Amherst, Mass. : Human Resource Development Press, 1982.</t>
  </si>
  <si>
    <t>2001-04-05</t>
  </si>
  <si>
    <t>1992-03-03</t>
  </si>
  <si>
    <t>429488253:eng</t>
  </si>
  <si>
    <t>9032520</t>
  </si>
  <si>
    <t>991000115119702656</t>
  </si>
  <si>
    <t>2268479040002656</t>
  </si>
  <si>
    <t>9780914234623</t>
  </si>
  <si>
    <t>32285000990431</t>
  </si>
  <si>
    <t>893339299</t>
  </si>
  <si>
    <t>RJ505.A7 K7</t>
  </si>
  <si>
    <t>0                      RJ 0505000A  7                  K  7</t>
  </si>
  <si>
    <t>Art as therapy with children / with an introd. by Muriel M. Gardiner.</t>
  </si>
  <si>
    <t>Krämer, Edith.</t>
  </si>
  <si>
    <t>New York : Schocken Books, [1972, c1971]</t>
  </si>
  <si>
    <t>2007-09-19</t>
  </si>
  <si>
    <t>1990-04-02</t>
  </si>
  <si>
    <t>578985:eng</t>
  </si>
  <si>
    <t>221179</t>
  </si>
  <si>
    <t>991001336059702656</t>
  </si>
  <si>
    <t>2258265190002656</t>
  </si>
  <si>
    <t>9780805233971</t>
  </si>
  <si>
    <t>32285000101575</t>
  </si>
  <si>
    <t>893878807</t>
  </si>
  <si>
    <t>RJ505.A7 L48 1983</t>
  </si>
  <si>
    <t>0                      RJ 0505000A  7                  L  48          1983</t>
  </si>
  <si>
    <t>They could not talk and so they drew : children's styles of coping and thinking / by Myra F. Levick ; forewords by Paul J. Fink and Zygmunt A. Piotrowski.</t>
  </si>
  <si>
    <t>Levick, Myra F.</t>
  </si>
  <si>
    <t>Springfield, Ill. : C.C. Thomas, c1983.</t>
  </si>
  <si>
    <t>2010-02-23</t>
  </si>
  <si>
    <t>42846986:eng</t>
  </si>
  <si>
    <t>8931214</t>
  </si>
  <si>
    <t>991000097749702656</t>
  </si>
  <si>
    <t>2256323430002656</t>
  </si>
  <si>
    <t>9780398048006</t>
  </si>
  <si>
    <t>32285001087229</t>
  </si>
  <si>
    <t>893701840</t>
  </si>
  <si>
    <t>RJ505.A7 R8 1984</t>
  </si>
  <si>
    <t>0                      RJ 0505000A  7                  R  8           1984</t>
  </si>
  <si>
    <t>Child art therapy : understanding and helping children grow through art / Judith Aron Rubin.</t>
  </si>
  <si>
    <t>Rubin, Judith Aron.</t>
  </si>
  <si>
    <t>New York : Van Nostrand Reinhold, c1984.</t>
  </si>
  <si>
    <t>4202436803:eng</t>
  </si>
  <si>
    <t>9827067</t>
  </si>
  <si>
    <t>991000262849702656</t>
  </si>
  <si>
    <t>2269007130002656</t>
  </si>
  <si>
    <t>9780442277673</t>
  </si>
  <si>
    <t>32285001005056</t>
  </si>
  <si>
    <t>893444259</t>
  </si>
  <si>
    <t>RJ505.A7 S56</t>
  </si>
  <si>
    <t>0                      RJ 0505000A  7                  S  56</t>
  </si>
  <si>
    <t>Structuring child behavior through visual art : a therapeutic, individualized art program to develop positive behavior attitudes in children / by Florence Singer.</t>
  </si>
  <si>
    <t>Singer, Florence.</t>
  </si>
  <si>
    <t>Springfield, Ill. : Thomas, c1980.</t>
  </si>
  <si>
    <t>2001-03-20</t>
  </si>
  <si>
    <t>1781907773:eng</t>
  </si>
  <si>
    <t>6421467</t>
  </si>
  <si>
    <t>991004979869702656</t>
  </si>
  <si>
    <t>2270461220002656</t>
  </si>
  <si>
    <t>9780398041144</t>
  </si>
  <si>
    <t>32285001087237</t>
  </si>
  <si>
    <t>893412156</t>
  </si>
  <si>
    <t>RJ505.A7 W54</t>
  </si>
  <si>
    <t>0                      RJ 0505000A  7                  W  54</t>
  </si>
  <si>
    <t>Developmental art therapy / by Geraldine H. Williams and Mary M. Wood.</t>
  </si>
  <si>
    <t>Williams, Geraldine H.</t>
  </si>
  <si>
    <t>Baltimore : University Park Press, c1977.</t>
  </si>
  <si>
    <t>1992-05-28</t>
  </si>
  <si>
    <t>3855272765:eng</t>
  </si>
  <si>
    <t>2966631</t>
  </si>
  <si>
    <t>991004298249702656</t>
  </si>
  <si>
    <t>2267163210002656</t>
  </si>
  <si>
    <t>9780839111405</t>
  </si>
  <si>
    <t>32285001113231</t>
  </si>
  <si>
    <t>893417449</t>
  </si>
  <si>
    <t>RJ505.B4 B44 1987</t>
  </si>
  <si>
    <t>0                      RJ 0505000B  4                  B  44          1987</t>
  </si>
  <si>
    <t>Behavior therapy with children and adolescents : a clinical approach / edited by Michel Hersen, Vincent B. Van Hasselt.</t>
  </si>
  <si>
    <t>New York : Wiley, c1987.</t>
  </si>
  <si>
    <t>1996-12-03</t>
  </si>
  <si>
    <t>836643695:eng</t>
  </si>
  <si>
    <t>13644278</t>
  </si>
  <si>
    <t>991000855489702656</t>
  </si>
  <si>
    <t>2269192560002656</t>
  </si>
  <si>
    <t>9780471825838</t>
  </si>
  <si>
    <t>32285000837939</t>
  </si>
  <si>
    <t>893608338</t>
  </si>
  <si>
    <t>RJ505.B4 B75</t>
  </si>
  <si>
    <t>0                      RJ 0505000B  4                  B  75</t>
  </si>
  <si>
    <t>Behavior modification in child, school and family mental health : an annotated bibliography on applications with parents and teachers and in marriage and family counseling / [by] Daniel G. Brown.</t>
  </si>
  <si>
    <t>Brown, Daniel G.</t>
  </si>
  <si>
    <t>Champaign, Ill. : Research Press Co., [1972]</t>
  </si>
  <si>
    <t>1994-02-20</t>
  </si>
  <si>
    <t>1420212:eng</t>
  </si>
  <si>
    <t>402392</t>
  </si>
  <si>
    <t>991002693379702656</t>
  </si>
  <si>
    <t>2265506210002656</t>
  </si>
  <si>
    <t>9780878220748</t>
  </si>
  <si>
    <t>32285001031615</t>
  </si>
  <si>
    <t>893627262</t>
  </si>
  <si>
    <t>RJ505.B4 G44 1984</t>
  </si>
  <si>
    <t>0                      RJ 0505000B  4                  G  44          1984</t>
  </si>
  <si>
    <t>Child behavior analysis and therapy / Donna M. Gelfand, Donald P. Hartmann.</t>
  </si>
  <si>
    <t>New York : Pergamon Press, c1984.</t>
  </si>
  <si>
    <t>Pergamon general psychology series ; 50</t>
  </si>
  <si>
    <t>2000-07-18</t>
  </si>
  <si>
    <t>1926453:eng</t>
  </si>
  <si>
    <t>10302475</t>
  </si>
  <si>
    <t>991000351339702656</t>
  </si>
  <si>
    <t>2272094780002656</t>
  </si>
  <si>
    <t>9780080280530</t>
  </si>
  <si>
    <t>32285001529568</t>
  </si>
  <si>
    <t>893255349</t>
  </si>
  <si>
    <t>RJ505.B4 I54 1989</t>
  </si>
  <si>
    <t>0                      RJ 0505000B  4                  I  54          1989</t>
  </si>
  <si>
    <t>Innovations in child behavior therapy / Michel Hersen, editor.</t>
  </si>
  <si>
    <t>New York : Springer Pub. Co., c1989.</t>
  </si>
  <si>
    <t>Springer series on behavior therapy and behavioral medicine ; v. 21</t>
  </si>
  <si>
    <t>2001-06-21</t>
  </si>
  <si>
    <t>967590:eng</t>
  </si>
  <si>
    <t>20414325</t>
  </si>
  <si>
    <t>991001800499702656</t>
  </si>
  <si>
    <t>2261444340002656</t>
  </si>
  <si>
    <t>9780826162809</t>
  </si>
  <si>
    <t>32285001036929</t>
  </si>
  <si>
    <t>893516509</t>
  </si>
  <si>
    <t>RJ505.B5 P37 1984</t>
  </si>
  <si>
    <t>0                      RJ 0505000B  5                  P  37          1984</t>
  </si>
  <si>
    <t>Young people with problems : a guide to bibliotherapy / Jean A. Pardeck and John T. Pardeck ; foreword by Jerry G. King.</t>
  </si>
  <si>
    <t>Pardeck, Jean A.</t>
  </si>
  <si>
    <t>Westport, Conn. : Greenwood Press, c1984.</t>
  </si>
  <si>
    <t>1992-05-07</t>
  </si>
  <si>
    <t>428150501:eng</t>
  </si>
  <si>
    <t>10020171</t>
  </si>
  <si>
    <t>991000298999702656</t>
  </si>
  <si>
    <t>2265304710002656</t>
  </si>
  <si>
    <t>9780313238369</t>
  </si>
  <si>
    <t>32285001105450</t>
  </si>
  <si>
    <t>893695738</t>
  </si>
  <si>
    <t>RJ505.D3 C3</t>
  </si>
  <si>
    <t>0                      RJ 0505000D  3                  C  3</t>
  </si>
  <si>
    <t>... and a time to dance / photography by Harriet Klebanoff.</t>
  </si>
  <si>
    <t>Canner, Norma.</t>
  </si>
  <si>
    <t>Boston : Beacon Press, [1968]</t>
  </si>
  <si>
    <t>1344363:eng</t>
  </si>
  <si>
    <t>227612</t>
  </si>
  <si>
    <t>991001387489702656</t>
  </si>
  <si>
    <t>2255825670002656</t>
  </si>
  <si>
    <t>32285000426691</t>
  </si>
  <si>
    <t>893408095</t>
  </si>
  <si>
    <t>RJ505.G47 O24</t>
  </si>
  <si>
    <t>0                      RJ 0505000G  47                 O  24</t>
  </si>
  <si>
    <t>Windows to our children : a Gestalt therapy approach to children and adolescents / Violet Oaklander. --</t>
  </si>
  <si>
    <t>Oaklander, Violet.</t>
  </si>
  <si>
    <t>Moab, Utah : Real People Press, c1978.</t>
  </si>
  <si>
    <t>utu</t>
  </si>
  <si>
    <t>1993-03-11</t>
  </si>
  <si>
    <t>1990-08-09</t>
  </si>
  <si>
    <t>907292828:eng</t>
  </si>
  <si>
    <t>4408708</t>
  </si>
  <si>
    <t>991005282259702656</t>
  </si>
  <si>
    <t>2255038230002656</t>
  </si>
  <si>
    <t>9780911226164</t>
  </si>
  <si>
    <t>32285000273036</t>
  </si>
  <si>
    <t>893353815</t>
  </si>
  <si>
    <t>RJ505.G7 C37 2000</t>
  </si>
  <si>
    <t>0                      RJ 0505000G  7                  C  37          2000</t>
  </si>
  <si>
    <t>Group exercises for adolescents : a manual for therapists / Susan Carrell.</t>
  </si>
  <si>
    <t>Carrell, Susan.</t>
  </si>
  <si>
    <t>Thousand Oaks : Sage Publications, c2000.</t>
  </si>
  <si>
    <t>2010-04-27</t>
  </si>
  <si>
    <t>2000-12-14</t>
  </si>
  <si>
    <t>836862408:eng</t>
  </si>
  <si>
    <t>41961324</t>
  </si>
  <si>
    <t>991003329989702656</t>
  </si>
  <si>
    <t>2257187320002656</t>
  </si>
  <si>
    <t>9780761919537</t>
  </si>
  <si>
    <t>32285004277215</t>
  </si>
  <si>
    <t>893336384</t>
  </si>
  <si>
    <t>RJ505.G7 G77 1985</t>
  </si>
  <si>
    <t>0                      RJ 0505000G  7                  G  77          1985</t>
  </si>
  <si>
    <t>Group therapy with children and adolescents : a treatment manual / edited by Barbara B. Siepker, Christine S. Kandaras ; with contributions from Laura H. Lewis ... [et al.]</t>
  </si>
  <si>
    <t>New York, N.Y. : Human Sciences Press, 1985.</t>
  </si>
  <si>
    <t>1996-01-25</t>
  </si>
  <si>
    <t>355389643:eng</t>
  </si>
  <si>
    <t>11495584</t>
  </si>
  <si>
    <t>991000545409702656</t>
  </si>
  <si>
    <t>2270580470002656</t>
  </si>
  <si>
    <t>9780898852424</t>
  </si>
  <si>
    <t>32285000821065</t>
  </si>
  <si>
    <t>893521776</t>
  </si>
  <si>
    <t>RJ505.G7 O76 1996</t>
  </si>
  <si>
    <t>0                      RJ 0505000G  7                  O  76          1996</t>
  </si>
  <si>
    <t>Support groups for children / Kathleen O'Rourke, John C. Worzbyt.</t>
  </si>
  <si>
    <t>O'Rourke, Kathleen, 1941-</t>
  </si>
  <si>
    <t>Washington, DC : Accelerated Development, c1996.</t>
  </si>
  <si>
    <t>2001-01-10</t>
  </si>
  <si>
    <t>936834:eng</t>
  </si>
  <si>
    <t>34281405</t>
  </si>
  <si>
    <t>991003330189702656</t>
  </si>
  <si>
    <t>2259042420002656</t>
  </si>
  <si>
    <t>9781560323952</t>
  </si>
  <si>
    <t>32285004282165</t>
  </si>
  <si>
    <t>893617239</t>
  </si>
  <si>
    <t>RJ505.M48 M55 1986</t>
  </si>
  <si>
    <t>0                      RJ 0505000M  48                 M  55          1986</t>
  </si>
  <si>
    <t>Therapeutic metaphors for children and the child within / by Joyce C. Mills &amp; Richard J. Crowley ; in collaboration with Margaret O. Ryan.</t>
  </si>
  <si>
    <t>Mills, Joyce C., 1944-</t>
  </si>
  <si>
    <t>New York : Brunner/Mazel, c1986.</t>
  </si>
  <si>
    <t>1995-07-21</t>
  </si>
  <si>
    <t>7393798:eng</t>
  </si>
  <si>
    <t>13526635</t>
  </si>
  <si>
    <t>991000842929702656</t>
  </si>
  <si>
    <t>2261066420002656</t>
  </si>
  <si>
    <t>9780876304297</t>
  </si>
  <si>
    <t>32285001044378</t>
  </si>
  <si>
    <t>893614536</t>
  </si>
  <si>
    <t>RJ505.M54 E26</t>
  </si>
  <si>
    <t>0                      RJ 0505000M  54                 E  26</t>
  </si>
  <si>
    <t>The Ecosystem of the "sick" child : implications for classification and intervention for disturbed and mentally retarded children / edited by Suzanne Salzinger, John Antrobus, Joseph Glick.</t>
  </si>
  <si>
    <t>New York : Academic Press, 1980.</t>
  </si>
  <si>
    <t>1995-09-25</t>
  </si>
  <si>
    <t>934298135:eng</t>
  </si>
  <si>
    <t>6861724</t>
  </si>
  <si>
    <t>991005048119702656</t>
  </si>
  <si>
    <t>2271122000002656</t>
  </si>
  <si>
    <t>9780126172508</t>
  </si>
  <si>
    <t>32285001060556</t>
  </si>
  <si>
    <t>893319941</t>
  </si>
  <si>
    <t>RJ505.M54 M3 1977</t>
  </si>
  <si>
    <t>0                      RJ 0505000M  54                 M  3           1977</t>
  </si>
  <si>
    <t>Lovey, a very special child / Mary MacCracken.</t>
  </si>
  <si>
    <t>MacCracken, Mary.</t>
  </si>
  <si>
    <t>New York : New American Library, 1977, c1976.</t>
  </si>
  <si>
    <t>1995-10-10</t>
  </si>
  <si>
    <t>1993-02-09</t>
  </si>
  <si>
    <t>470148:eng</t>
  </si>
  <si>
    <t>11839790</t>
  </si>
  <si>
    <t>991000600019702656</t>
  </si>
  <si>
    <t>2269534980002656</t>
  </si>
  <si>
    <t>9780451133649</t>
  </si>
  <si>
    <t>32285001495877</t>
  </si>
  <si>
    <t>893249497</t>
  </si>
  <si>
    <t>RJ505.P37 T74 1998</t>
  </si>
  <si>
    <t>0                      RJ 0505000P  37                 T  74          1998</t>
  </si>
  <si>
    <t>Treating children with sexually abusive behavior problems : guidelines for child and parent intervention / Jan Ellen Burton ... [et al.] ; David H. Justice, contributor.</t>
  </si>
  <si>
    <t>New York : Haworth Maltreatment and Trauma Press, c1998.</t>
  </si>
  <si>
    <t>2000-02-01</t>
  </si>
  <si>
    <t>1999-11-01</t>
  </si>
  <si>
    <t>373955524:eng</t>
  </si>
  <si>
    <t>38566254</t>
  </si>
  <si>
    <t>991002916759702656</t>
  </si>
  <si>
    <t>2260929600002656</t>
  </si>
  <si>
    <t>9780789004727</t>
  </si>
  <si>
    <t>32285003616033</t>
  </si>
  <si>
    <t>893616757</t>
  </si>
  <si>
    <t>RJ505.P6 B37 1996</t>
  </si>
  <si>
    <t>0                      RJ 0505000P  6                  B  37          1996</t>
  </si>
  <si>
    <t>The healing path with children : an exploration for parents and professionals / by Mark Barnes.</t>
  </si>
  <si>
    <t>Barnes, Mark A.</t>
  </si>
  <si>
    <t>Ontario, Canada ; Clayton, NY : Viktoria, Fermoyle &amp; Berrigan Pub. House, c1996.</t>
  </si>
  <si>
    <t>onc</t>
  </si>
  <si>
    <t>2009-08-31</t>
  </si>
  <si>
    <t>1997-08-11</t>
  </si>
  <si>
    <t>436480170:eng</t>
  </si>
  <si>
    <t>36138231</t>
  </si>
  <si>
    <t>991002755269702656</t>
  </si>
  <si>
    <t>2260648690002656</t>
  </si>
  <si>
    <t>9781896702001</t>
  </si>
  <si>
    <t>32285003000964</t>
  </si>
  <si>
    <t>893504783</t>
  </si>
  <si>
    <t>RJ505.P6 G36 1986</t>
  </si>
  <si>
    <t>0                      RJ 0505000P  6                  G  36          1986</t>
  </si>
  <si>
    <t>Game play : therapeutic use of childhood games / edited by Charles E. Schaefer, Steven E. Reid.</t>
  </si>
  <si>
    <t>2000-03-10</t>
  </si>
  <si>
    <t>1993-04-15</t>
  </si>
  <si>
    <t>864915044:eng</t>
  </si>
  <si>
    <t>12750353</t>
  </si>
  <si>
    <t>991000733019702656</t>
  </si>
  <si>
    <t>2270509520002656</t>
  </si>
  <si>
    <t>9780471819721</t>
  </si>
  <si>
    <t>32285001620524</t>
  </si>
  <si>
    <t>893521953</t>
  </si>
  <si>
    <t>RJ505.P6 H36 1983</t>
  </si>
  <si>
    <t>0                      RJ 0505000P  6                  H  36          1983</t>
  </si>
  <si>
    <t>Handbook of play therapy / edited by Charles E. Schaefer and Kevin J. O'Connor.</t>
  </si>
  <si>
    <t>New York : Wiley, c1983.</t>
  </si>
  <si>
    <t>Wiley series on personality processes, 0195-4008</t>
  </si>
  <si>
    <t>2001-11-26</t>
  </si>
  <si>
    <t>2007-01-24</t>
  </si>
  <si>
    <t>349931010:eng</t>
  </si>
  <si>
    <t>9066768</t>
  </si>
  <si>
    <t>991001772449702656</t>
  </si>
  <si>
    <t>2269846610002656</t>
  </si>
  <si>
    <t>9780471094623</t>
  </si>
  <si>
    <t>32285000802131</t>
  </si>
  <si>
    <t>893250485</t>
  </si>
  <si>
    <t>RJ505.P6 M68 1973</t>
  </si>
  <si>
    <t>0                      RJ 0505000P  6                  M  68          1973</t>
  </si>
  <si>
    <t>Children in play therapy / [by] Clark Moustakas.</t>
  </si>
  <si>
    <t>Moustakas, Clark E.</t>
  </si>
  <si>
    <t>[New York] : J. Aronson, [1973]</t>
  </si>
  <si>
    <t>2001-03-12</t>
  </si>
  <si>
    <t>3855428141:eng</t>
  </si>
  <si>
    <t>703386</t>
  </si>
  <si>
    <t>991003166139702656</t>
  </si>
  <si>
    <t>2257449760002656</t>
  </si>
  <si>
    <t>9780876681022</t>
  </si>
  <si>
    <t>32285000996339</t>
  </si>
  <si>
    <t>893323829</t>
  </si>
  <si>
    <t>RJ505.P6 S3</t>
  </si>
  <si>
    <t>0                      RJ 0505000P  6                  S  3</t>
  </si>
  <si>
    <t>The therapeutic play group / Mortimer Schiffer.</t>
  </si>
  <si>
    <t>Schiffer, Mortimer.</t>
  </si>
  <si>
    <t>New York : Grune &amp; Stratton, c1969.</t>
  </si>
  <si>
    <t>1183614:eng</t>
  </si>
  <si>
    <t>54933</t>
  </si>
  <si>
    <t>991005265609702656</t>
  </si>
  <si>
    <t>2257963030002656</t>
  </si>
  <si>
    <t>32285000802149</t>
  </si>
  <si>
    <t>893248628</t>
  </si>
  <si>
    <t>RJ505.P92 P78 1992</t>
  </si>
  <si>
    <t>0                      RJ 0505000P  92                 P  78          1992</t>
  </si>
  <si>
    <t>Psychotherapies with children and adolescents : adapting the psychodynamic process / edited by John D. O'Brien, Daniel J. Pilowsky, Owen W. Lewis.</t>
  </si>
  <si>
    <t>Washington, DC : American Psychiatric Press, c1992.</t>
  </si>
  <si>
    <t>836864295:eng</t>
  </si>
  <si>
    <t>24909174</t>
  </si>
  <si>
    <t>991001965569702656</t>
  </si>
  <si>
    <t>2271447820002656</t>
  </si>
  <si>
    <t>9780880484060</t>
  </si>
  <si>
    <t>32285001197747</t>
  </si>
  <si>
    <t>893232423</t>
  </si>
  <si>
    <t>RJ505.R33 V36 1998</t>
  </si>
  <si>
    <t>0                      RJ 0505000R  33                 V  36          1998</t>
  </si>
  <si>
    <t>The passport program : a journey through emotional, social, cognitive, and self-development / Ann Vernon.</t>
  </si>
  <si>
    <t>Vernon, Ann.</t>
  </si>
  <si>
    <t>Champaign, Ill. : Research Press, c1998.</t>
  </si>
  <si>
    <t>2001-02-17</t>
  </si>
  <si>
    <t>1999-03-04</t>
  </si>
  <si>
    <t>18000052:eng</t>
  </si>
  <si>
    <t>40899416</t>
  </si>
  <si>
    <t>991003009469702656</t>
  </si>
  <si>
    <t>2259056770002656</t>
  </si>
  <si>
    <t>9780878223770</t>
  </si>
  <si>
    <t>32285003529426</t>
  </si>
  <si>
    <t>893227581</t>
  </si>
  <si>
    <t>1999-06-14</t>
  </si>
  <si>
    <t>32285003529434</t>
  </si>
  <si>
    <t>893245928</t>
  </si>
  <si>
    <t>V.3</t>
  </si>
  <si>
    <t>32285003529442</t>
  </si>
  <si>
    <t>893227580</t>
  </si>
  <si>
    <t>RJ505.R36 C73 1985</t>
  </si>
  <si>
    <t>0                      RJ 0505000R  36                 C  73          1985</t>
  </si>
  <si>
    <t>If we could hear the grass grow / Eleanor Craig.</t>
  </si>
  <si>
    <t>Craig, Eleanor.</t>
  </si>
  <si>
    <t>New York, N.Y. : New American Library, 1985, c1983.</t>
  </si>
  <si>
    <t>2004-05-04</t>
  </si>
  <si>
    <t>5264514:eng</t>
  </si>
  <si>
    <t>12143088</t>
  </si>
  <si>
    <t>991000648059702656</t>
  </si>
  <si>
    <t>2265807210002656</t>
  </si>
  <si>
    <t>9780451136190</t>
  </si>
  <si>
    <t>32285001529592</t>
  </si>
  <si>
    <t>893534250</t>
  </si>
  <si>
    <t>RJ506.A35 C665 2002</t>
  </si>
  <si>
    <t>0                      RJ 0506000A  35                 C  665         2002</t>
  </si>
  <si>
    <t>Aggression and antisocial behavior in children and adolescents : research and treatment / Daniel F. Connor ; foreword by Russell A. Barkley.</t>
  </si>
  <si>
    <t>Connor, Daniel F.</t>
  </si>
  <si>
    <t>New York : Guilford Press, c2002.</t>
  </si>
  <si>
    <t>2003-09-03</t>
  </si>
  <si>
    <t>839003308:eng</t>
  </si>
  <si>
    <t>49305842</t>
  </si>
  <si>
    <t>991004101609702656</t>
  </si>
  <si>
    <t>2262334910002656</t>
  </si>
  <si>
    <t>9781572307384</t>
  </si>
  <si>
    <t>32285004781307</t>
  </si>
  <si>
    <t>893611923</t>
  </si>
  <si>
    <t>RJ506.A35 D482 2005</t>
  </si>
  <si>
    <t>0                      RJ 0506000A  35                 D  482         2005</t>
  </si>
  <si>
    <t>The development and treatment of girlhood aggression / edited by Debra Pepler ... [et al.].</t>
  </si>
  <si>
    <t>Mahwah, N.J. ; London : Lawrence Erlbaum, c2005.</t>
  </si>
  <si>
    <t>2008-10-28</t>
  </si>
  <si>
    <t>2004-11-01</t>
  </si>
  <si>
    <t>766006035:eng</t>
  </si>
  <si>
    <t>57240367</t>
  </si>
  <si>
    <t>991004391639702656</t>
  </si>
  <si>
    <t>2255201270002656</t>
  </si>
  <si>
    <t>9780805840391</t>
  </si>
  <si>
    <t>32285005007645</t>
  </si>
  <si>
    <t>893718850</t>
  </si>
  <si>
    <t>RJ506.A58 A59 1986</t>
  </si>
  <si>
    <t>0                      RJ 0506000A  58                 A  59          1986</t>
  </si>
  <si>
    <t>Anxiety disorders of childhood / edited by Rachel Gittelman.</t>
  </si>
  <si>
    <t>New York : Guilford Press, c1986.</t>
  </si>
  <si>
    <t>1999-09-26</t>
  </si>
  <si>
    <t>54779734:eng</t>
  </si>
  <si>
    <t>12972897</t>
  </si>
  <si>
    <t>991000760449702656</t>
  </si>
  <si>
    <t>2263631120002656</t>
  </si>
  <si>
    <t>9780898626582</t>
  </si>
  <si>
    <t>32285000219070</t>
  </si>
  <si>
    <t>893626432</t>
  </si>
  <si>
    <t>RJ506.A58 H87 1992</t>
  </si>
  <si>
    <t>0                      RJ 0506000A  58                 H  87          1992</t>
  </si>
  <si>
    <t>Anxiety disorders in children and adolescents / Syed Arshad Husain, Javad H. Kashani.</t>
  </si>
  <si>
    <t>Husain, Syed Arshad.</t>
  </si>
  <si>
    <t>Clinical practice ; no. 22</t>
  </si>
  <si>
    <t>2001-03-01</t>
  </si>
  <si>
    <t>1992-01-22</t>
  </si>
  <si>
    <t>25209824:eng</t>
  </si>
  <si>
    <t>23972978</t>
  </si>
  <si>
    <t>991001897379702656</t>
  </si>
  <si>
    <t>2259046920002656</t>
  </si>
  <si>
    <t>9780880484671</t>
  </si>
  <si>
    <t>32285000866177</t>
  </si>
  <si>
    <t>893797904</t>
  </si>
  <si>
    <t>RJ506.A9 A67 1998</t>
  </si>
  <si>
    <t>0                      RJ 0506000A  9                  A  67          1998</t>
  </si>
  <si>
    <t>Sensory motor issues in autism / Johanna M. Anderson.</t>
  </si>
  <si>
    <t>Anderson, Johanna M.</t>
  </si>
  <si>
    <t>San Antonio, Tex. : Therapy Skill Builders, c1998.</t>
  </si>
  <si>
    <t>2007-11-19</t>
  </si>
  <si>
    <t>27126309:eng</t>
  </si>
  <si>
    <t>41425895</t>
  </si>
  <si>
    <t>991003028299702656</t>
  </si>
  <si>
    <t>2256281620002656</t>
  </si>
  <si>
    <t>9780761671008</t>
  </si>
  <si>
    <t>32285003674289</t>
  </si>
  <si>
    <t>893880740</t>
  </si>
  <si>
    <t>RJ506.A9 A86 1988</t>
  </si>
  <si>
    <t>0                      RJ 0506000A  9                  A  86          1988</t>
  </si>
  <si>
    <t>Aspects of autism : biological research / edited by Lorna Wing.</t>
  </si>
  <si>
    <t>London : Gaskell, 1988.</t>
  </si>
  <si>
    <t>1999-10-11</t>
  </si>
  <si>
    <t>1991-12-17</t>
  </si>
  <si>
    <t>21298597:eng</t>
  </si>
  <si>
    <t>19561451</t>
  </si>
  <si>
    <t>991001475879702656</t>
  </si>
  <si>
    <t>2259779120002656</t>
  </si>
  <si>
    <t>9780902241251</t>
  </si>
  <si>
    <t>32285000907195</t>
  </si>
  <si>
    <t>893615154</t>
  </si>
  <si>
    <t>RJ506.A9 A92</t>
  </si>
  <si>
    <t>0                      RJ 0506000A  9                  A  92</t>
  </si>
  <si>
    <t>Autism--diagnosis, current research, and management / editor, Edward R. Ritvo, co-editors, Betty Jo Freeman, Edward M. Ornitz, Peter E. Tanguay.</t>
  </si>
  <si>
    <t>New York : SP Books Division of Spectrum Publications : distributed by Halsted Press, c1976.</t>
  </si>
  <si>
    <t>Series on child behavior and development ; v. 2</t>
  </si>
  <si>
    <t>2005-08-10</t>
  </si>
  <si>
    <t>2703997:eng</t>
  </si>
  <si>
    <t>2020544</t>
  </si>
  <si>
    <t>991001786629702656</t>
  </si>
  <si>
    <t>2271395820002656</t>
  </si>
  <si>
    <t>32285000426709</t>
  </si>
  <si>
    <t>893791705</t>
  </si>
  <si>
    <t>RJ506.A9 A922 1981</t>
  </si>
  <si>
    <t>0                      RJ 0506000A  9                  A  922         1981</t>
  </si>
  <si>
    <t>Autism, diagnosis, instruction, management, and research / edited by James E. Gilliam.</t>
  </si>
  <si>
    <t>Springfield, Ill. : Thomas, c1981.</t>
  </si>
  <si>
    <t>2004-10-12</t>
  </si>
  <si>
    <t>472189:eng</t>
  </si>
  <si>
    <t>7175089</t>
  </si>
  <si>
    <t>991005082729702656</t>
  </si>
  <si>
    <t>2272208420002656</t>
  </si>
  <si>
    <t>9780398040727</t>
  </si>
  <si>
    <t>32285000219088</t>
  </si>
  <si>
    <t>893895830</t>
  </si>
  <si>
    <t>RJ506.A9 A9223 1992</t>
  </si>
  <si>
    <t>0                      RJ 0506000A  9                  A  9223        1992</t>
  </si>
  <si>
    <t>Autism : identification, education, and treatment / edited by Dianne E. Berkell.</t>
  </si>
  <si>
    <t>2010-09-07</t>
  </si>
  <si>
    <t>1992-12-16</t>
  </si>
  <si>
    <t>799777087:eng</t>
  </si>
  <si>
    <t>24067303</t>
  </si>
  <si>
    <t>991005266649702656</t>
  </si>
  <si>
    <t>2258361940002656</t>
  </si>
  <si>
    <t>32285001403061</t>
  </si>
  <si>
    <t>893501607</t>
  </si>
  <si>
    <t>RJ506.A9 A925</t>
  </si>
  <si>
    <t>0                      RJ 0506000A  9                  A  925</t>
  </si>
  <si>
    <t>Autistic children : teaching, community, and research approaches / compiled and edited by Barbara Furneaux and Brian Roberts ; with contributions from Sybil Elgar ... [et al.].</t>
  </si>
  <si>
    <t>London ; Boston : Routledge &amp; Kegan Paul, 1977.</t>
  </si>
  <si>
    <t>Special needs in education</t>
  </si>
  <si>
    <t>1999-04-24</t>
  </si>
  <si>
    <t>353259066:eng</t>
  </si>
  <si>
    <t>3680115</t>
  </si>
  <si>
    <t>991004545599702656</t>
  </si>
  <si>
    <t>2258234820002656</t>
  </si>
  <si>
    <t>9780710087041</t>
  </si>
  <si>
    <t>32285000219096</t>
  </si>
  <si>
    <t>893807210</t>
  </si>
  <si>
    <t>RJ506.A9 A93</t>
  </si>
  <si>
    <t>0                      RJ 0506000A  9                  A  93</t>
  </si>
  <si>
    <t>The Autistic syndromes / Mary Coleman, editor.</t>
  </si>
  <si>
    <t>Amsterdam : North-Holland Pub. Co. ; New York : American Elsevier Pub. Co., 1976.</t>
  </si>
  <si>
    <t>2001-02-24</t>
  </si>
  <si>
    <t>2003-11-17</t>
  </si>
  <si>
    <t>54125976:eng</t>
  </si>
  <si>
    <t>2358084</t>
  </si>
  <si>
    <t>991001772699702656</t>
  </si>
  <si>
    <t>2261003130002656</t>
  </si>
  <si>
    <t>9780444112019</t>
  </si>
  <si>
    <t>32285000919224</t>
  </si>
  <si>
    <t>893879158</t>
  </si>
  <si>
    <t>RJ506.A9 B28 1993</t>
  </si>
  <si>
    <t>0                      RJ 0506000A  9                  B  28          1993</t>
  </si>
  <si>
    <t>Autism : the facts / Simon Baron-Cohen and Patrick Bolton.</t>
  </si>
  <si>
    <t>Baron-Cohen, Simon.</t>
  </si>
  <si>
    <t>Oxford ; New York : Oxford University Press, 1993.</t>
  </si>
  <si>
    <t>Oxford medical publications</t>
  </si>
  <si>
    <t>2010-11-28</t>
  </si>
  <si>
    <t>9999935:eng</t>
  </si>
  <si>
    <t>26219576</t>
  </si>
  <si>
    <t>991002053399702656</t>
  </si>
  <si>
    <t>2267829990002656</t>
  </si>
  <si>
    <t>9780192623270</t>
  </si>
  <si>
    <t>32285001728525</t>
  </si>
  <si>
    <t>893703615</t>
  </si>
  <si>
    <t>RJ506.A9 B4</t>
  </si>
  <si>
    <t>0                      RJ 0506000A  9                  B  4</t>
  </si>
  <si>
    <t>The empty fortress : infantile autism and the birth of the self.</t>
  </si>
  <si>
    <t>New York : Free Press, [1967]</t>
  </si>
  <si>
    <t>1992-11-16</t>
  </si>
  <si>
    <t>400372:eng</t>
  </si>
  <si>
    <t>619444</t>
  </si>
  <si>
    <t>991005265339702656</t>
  </si>
  <si>
    <t>2269873090002656</t>
  </si>
  <si>
    <t>32285001364404</t>
  </si>
  <si>
    <t>893707554</t>
  </si>
  <si>
    <t>RJ506.A9 B6713</t>
  </si>
  <si>
    <t>0                      RJ 0506000A  9                  B  6713</t>
  </si>
  <si>
    <t>Infantile autism : a clinical and phenomenological-anthropological investigation taking language as the guide / translated by Derek and Inge Jordan. With a foreword by Bruno Bettelheim.</t>
  </si>
  <si>
    <t>Bosch, Gerhard, 1918-</t>
  </si>
  <si>
    <t>Berlin ; New York : Springer-Verlag, 1970.</t>
  </si>
  <si>
    <t xml:space="preserve">gw </t>
  </si>
  <si>
    <t>355960269:eng</t>
  </si>
  <si>
    <t>93352</t>
  </si>
  <si>
    <t>991000557729702656</t>
  </si>
  <si>
    <t>2262957640002656</t>
  </si>
  <si>
    <t>32285001384972</t>
  </si>
  <si>
    <t>893339658</t>
  </si>
  <si>
    <t>RJ506.A9 C47</t>
  </si>
  <si>
    <t>0                      RJ 0506000A  9                  C  47</t>
  </si>
  <si>
    <t>Language of autistic children / Don W. Churchill.</t>
  </si>
  <si>
    <t>Churchill, Don W., 1930-</t>
  </si>
  <si>
    <t>Washington : V. H. Winston ; New York : distributed solely by Halsted Press, 1978.</t>
  </si>
  <si>
    <t>2000-04-19</t>
  </si>
  <si>
    <t>1990-05-25</t>
  </si>
  <si>
    <t>13681022:eng</t>
  </si>
  <si>
    <t>3933172</t>
  </si>
  <si>
    <t>991001772779702656</t>
  </si>
  <si>
    <t>2266561540002656</t>
  </si>
  <si>
    <t>9780470264171</t>
  </si>
  <si>
    <t>32285000167170</t>
  </si>
  <si>
    <t>893439437</t>
  </si>
  <si>
    <t>RJ506.A9 C48</t>
  </si>
  <si>
    <t>0                      RJ 0506000A  9                  C  48</t>
  </si>
  <si>
    <t>Psychopathology and child development : research and treatment / edited by Eric Schopler and Robert J. Reichler.</t>
  </si>
  <si>
    <t>New York : Plenum Press, c1976.</t>
  </si>
  <si>
    <t>1994-12-01</t>
  </si>
  <si>
    <t>889336678:eng</t>
  </si>
  <si>
    <t>1976831</t>
  </si>
  <si>
    <t>991001772289702656</t>
  </si>
  <si>
    <t>2268553860002656</t>
  </si>
  <si>
    <t>9780306308703</t>
  </si>
  <si>
    <t>32285000919216</t>
  </si>
  <si>
    <t>893346764</t>
  </si>
  <si>
    <t>RJ506.A9 C53 1985</t>
  </si>
  <si>
    <t>0                      RJ 0506000A  9                  C  53          1985</t>
  </si>
  <si>
    <t>Classic readings in autism / edited by Anne M. Donnellan.</t>
  </si>
  <si>
    <t>New York : Teachers College, Columbia University, c1985.</t>
  </si>
  <si>
    <t>Special education series</t>
  </si>
  <si>
    <t>1998-11-12</t>
  </si>
  <si>
    <t>54694522:eng</t>
  </si>
  <si>
    <t>11726472</t>
  </si>
  <si>
    <t>991001772979702656</t>
  </si>
  <si>
    <t>2255105240002656</t>
  </si>
  <si>
    <t>9780807727744</t>
  </si>
  <si>
    <t>32285000219104</t>
  </si>
  <si>
    <t>893602881</t>
  </si>
  <si>
    <t>RJ506.A9 C6</t>
  </si>
  <si>
    <t>0                      RJ 0506000A  9                  C  6</t>
  </si>
  <si>
    <t>Group treatment of autistic children / [by] Hubert S. Coffey [and] Louise L. Wiener. Collaborators: Carter Umbarger [and others]</t>
  </si>
  <si>
    <t>Coffey, Hubert S.</t>
  </si>
  <si>
    <t>Englewood Cliffs, N.J. : Prentice-Hall, [1967]</t>
  </si>
  <si>
    <t>Prentice-Hall psychology series</t>
  </si>
  <si>
    <t>1993-10-15</t>
  </si>
  <si>
    <t>505216477:eng</t>
  </si>
  <si>
    <t>602986</t>
  </si>
  <si>
    <t>991003041769702656</t>
  </si>
  <si>
    <t>2260177560002656</t>
  </si>
  <si>
    <t>32285001384964</t>
  </si>
  <si>
    <t>893692335</t>
  </si>
  <si>
    <t>RJ506.A9 C64 1985</t>
  </si>
  <si>
    <t>0                      RJ 0506000A  9                  C  64          1985</t>
  </si>
  <si>
    <t>The biology of the autistic syndromes / by Mary Coleman, Christopher Gillberg.</t>
  </si>
  <si>
    <t>Coleman, Mary.</t>
  </si>
  <si>
    <t>[New York, N.Y.] : Praeger, 1985.</t>
  </si>
  <si>
    <t>2000-11-04</t>
  </si>
  <si>
    <t>20441215:eng</t>
  </si>
  <si>
    <t>11518907</t>
  </si>
  <si>
    <t>991000546999702656</t>
  </si>
  <si>
    <t>2269681770002656</t>
  </si>
  <si>
    <t>9780030008344</t>
  </si>
  <si>
    <t>32285000907203</t>
  </si>
  <si>
    <t>893601847</t>
  </si>
  <si>
    <t>RJ506.A9 C65 1968</t>
  </si>
  <si>
    <t>0                      RJ 0506000A  9                  C  65          1968</t>
  </si>
  <si>
    <t>Infantile autism : proceedings of the Indiana University colloquium / edited by Don W. Churchill, Gerald D. Alpern [and] Marian K. DeMyer.</t>
  </si>
  <si>
    <t>Colloquium on Infantile Autism (1968 : Indiana University)</t>
  </si>
  <si>
    <t>Springfield, Ill. : C. C. Thomas, [1971]</t>
  </si>
  <si>
    <t>1995-11-07</t>
  </si>
  <si>
    <t>1992-11-04</t>
  </si>
  <si>
    <t>1261202:eng</t>
  </si>
  <si>
    <t>129416</t>
  </si>
  <si>
    <t>991000741129702656</t>
  </si>
  <si>
    <t>2266645990002656</t>
  </si>
  <si>
    <t>32285001380483</t>
  </si>
  <si>
    <t>893884717</t>
  </si>
  <si>
    <t>RJ506.A9 C75 1980</t>
  </si>
  <si>
    <t>0                      RJ 0506000A  9                  C  75          1980</t>
  </si>
  <si>
    <t>Critical issues in educating autistic children and youth / Barbara Wilcox and Anneke Thompson, editors ; [sponsored by] U.S. Department of Education, Office of Special Education.</t>
  </si>
  <si>
    <t>Washington, D.C. (1234 Massachusetts Ave., N.W., Suite 1017, Washington, D.C.) : NSAC National Society for Children and Adults with Autism, 1980, 1981 printing.</t>
  </si>
  <si>
    <t>2nd print.</t>
  </si>
  <si>
    <t>1994-06-22</t>
  </si>
  <si>
    <t>427553947:eng</t>
  </si>
  <si>
    <t>8712629</t>
  </si>
  <si>
    <t>991000057989702656</t>
  </si>
  <si>
    <t>2271799440002656</t>
  </si>
  <si>
    <t>32285001777720</t>
  </si>
  <si>
    <t>893314636</t>
  </si>
  <si>
    <t>RJ506.A9 D34</t>
  </si>
  <si>
    <t>0                      RJ 0506000A  9                  D  34</t>
  </si>
  <si>
    <t>No language but a cry / by Richard D'Ambrosio.</t>
  </si>
  <si>
    <t>D'Ambrosio, Richard.</t>
  </si>
  <si>
    <t>New York : Doubleday, 1970.</t>
  </si>
  <si>
    <t>1992-12-22</t>
  </si>
  <si>
    <t>453721:eng</t>
  </si>
  <si>
    <t>94607</t>
  </si>
  <si>
    <t>991000569089702656</t>
  </si>
  <si>
    <t>2266086780002656</t>
  </si>
  <si>
    <t>32285001471183</t>
  </si>
  <si>
    <t>893438376</t>
  </si>
  <si>
    <t>RJ506.A9 D46</t>
  </si>
  <si>
    <t>0                      RJ 0506000A  9                  D  46</t>
  </si>
  <si>
    <t>Your child is asleep; early infantile autism: etiology, treatment, parental influences [by] Austin M. DesLauriers [and] Carole F. Carlson.</t>
  </si>
  <si>
    <t>Des Lauriers, Austin M.</t>
  </si>
  <si>
    <t>Homewood, Ill., Dorsey Press, 1969.</t>
  </si>
  <si>
    <t>The Dorsey series in psychology</t>
  </si>
  <si>
    <t>905528840:eng</t>
  </si>
  <si>
    <t>2685</t>
  </si>
  <si>
    <t>991005434939702656</t>
  </si>
  <si>
    <t>2262766710002656</t>
  </si>
  <si>
    <t>32285003094207</t>
  </si>
  <si>
    <t>893248920</t>
  </si>
  <si>
    <t>RJ506.A9 E38</t>
  </si>
  <si>
    <t>0                      RJ 0506000A  9                  E  38</t>
  </si>
  <si>
    <t>Educating and understanding autistic children / Robert L. Koegel, Arnold Rincover, and Andrew L. Egel, editors.</t>
  </si>
  <si>
    <t>Houston : College-Hill Press, 1982.</t>
  </si>
  <si>
    <t>355389904:eng</t>
  </si>
  <si>
    <t>7672422</t>
  </si>
  <si>
    <t>991005147619702656</t>
  </si>
  <si>
    <t>2271456470002656</t>
  </si>
  <si>
    <t>9780933014688</t>
  </si>
  <si>
    <t>32285000219112</t>
  </si>
  <si>
    <t>893242285</t>
  </si>
  <si>
    <t>RJ506.A9 F695 1989</t>
  </si>
  <si>
    <t>0                      RJ 0506000A  9                  F  695         1989</t>
  </si>
  <si>
    <t>Autism : explaining the enigma / Uta Frith.</t>
  </si>
  <si>
    <t>Frith, Uta.</t>
  </si>
  <si>
    <t>Oxford, UK ; Cambridge, MA, USA : Basil Blackwell, 1989 (1990 printing).</t>
  </si>
  <si>
    <t>Cognitive development</t>
  </si>
  <si>
    <t>2006-11-16</t>
  </si>
  <si>
    <t>1991-08-27</t>
  </si>
  <si>
    <t>5974821:eng</t>
  </si>
  <si>
    <t>18716337</t>
  </si>
  <si>
    <t>991001386479702656</t>
  </si>
  <si>
    <t>2265145830002656</t>
  </si>
  <si>
    <t>9780631168249</t>
  </si>
  <si>
    <t>32285000702331</t>
  </si>
  <si>
    <t>893608819</t>
  </si>
  <si>
    <t>RJ506.A9 H27 1994</t>
  </si>
  <si>
    <t>0                      RJ 0506000A  9                  H  27          1994</t>
  </si>
  <si>
    <t>Siblings of children with autism : a guide for families / Sandra L. Harris.</t>
  </si>
  <si>
    <t>Harris, Sandra L.</t>
  </si>
  <si>
    <t>Rockville, MD : Woodbine House, 1994.</t>
  </si>
  <si>
    <t>Topics in autism</t>
  </si>
  <si>
    <t>1996-11-20</t>
  </si>
  <si>
    <t>840642015:eng</t>
  </si>
  <si>
    <t>30508178</t>
  </si>
  <si>
    <t>991002342159702656</t>
  </si>
  <si>
    <t>2272659720002656</t>
  </si>
  <si>
    <t>9780933149717</t>
  </si>
  <si>
    <t>32285002374691</t>
  </si>
  <si>
    <t>893873390</t>
  </si>
  <si>
    <t>RJ506.A9 H46 1970</t>
  </si>
  <si>
    <t>0                      RJ 0506000A  9                  H  46          1970</t>
  </si>
  <si>
    <t>Psychological experiments with autistic children / by B. Hermelin and N. O'Connor.</t>
  </si>
  <si>
    <t>Hermelin, Beate.</t>
  </si>
  <si>
    <t>Oxford ; New York : Pergamon Press, [1970]</t>
  </si>
  <si>
    <t>2004-02-19</t>
  </si>
  <si>
    <t>1990-02-24</t>
  </si>
  <si>
    <t>407106:eng</t>
  </si>
  <si>
    <t>91259</t>
  </si>
  <si>
    <t>991000544939702656</t>
  </si>
  <si>
    <t>2264567250002656</t>
  </si>
  <si>
    <t>9780080160887</t>
  </si>
  <si>
    <t>32285000061282</t>
  </si>
  <si>
    <t>893778021</t>
  </si>
  <si>
    <t>RJ506.A9 H63 1993</t>
  </si>
  <si>
    <t>0                      RJ 0506000A  9                  H  63          1993</t>
  </si>
  <si>
    <t>Autism and the development of mind / R. Peter Hobson.</t>
  </si>
  <si>
    <t>Hobson, R. Peter.</t>
  </si>
  <si>
    <t>Hove : Lawrence Erlbaum Associates, c1993.</t>
  </si>
  <si>
    <t>Essays in developmental psychology</t>
  </si>
  <si>
    <t>2009-09-15</t>
  </si>
  <si>
    <t>1994-08-02</t>
  </si>
  <si>
    <t>15049050:eng</t>
  </si>
  <si>
    <t>30921671</t>
  </si>
  <si>
    <t>991002273969702656</t>
  </si>
  <si>
    <t>2272148250002656</t>
  </si>
  <si>
    <t>9780863772290</t>
  </si>
  <si>
    <t>32285001934750</t>
  </si>
  <si>
    <t>893415013</t>
  </si>
  <si>
    <t>RJ506.A9 H68 1987</t>
  </si>
  <si>
    <t>0                      RJ 0506000A  9                  H  68          1987</t>
  </si>
  <si>
    <t>Treatment of autistic children / by Patricia Howlin and Michael Rutter, with M. Berger ... [et al.].</t>
  </si>
  <si>
    <t>Howlin, Patricia.</t>
  </si>
  <si>
    <t>Chichester ; New York : Wiley, c1987.</t>
  </si>
  <si>
    <t>Wiley series on studies on child psychiatry</t>
  </si>
  <si>
    <t>8180661:eng</t>
  </si>
  <si>
    <t>14357753</t>
  </si>
  <si>
    <t>991000934729702656</t>
  </si>
  <si>
    <t>2256256920002656</t>
  </si>
  <si>
    <t>9780471102625</t>
  </si>
  <si>
    <t>32285000167188</t>
  </si>
  <si>
    <t>893340020</t>
  </si>
  <si>
    <t>RJ506.A9 H85 1972</t>
  </si>
  <si>
    <t>0                      RJ 0506000A  9                  H  85          1972</t>
  </si>
  <si>
    <t>The small outsider : the story of an autistic child.</t>
  </si>
  <si>
    <t>Hundley, Joan Martin.</t>
  </si>
  <si>
    <t>New York : St. Martin's Press, [1972, c1971]</t>
  </si>
  <si>
    <t>1999-11-08</t>
  </si>
  <si>
    <t>1366133:eng</t>
  </si>
  <si>
    <t>417915</t>
  </si>
  <si>
    <t>991002732839702656</t>
  </si>
  <si>
    <t>2258267080002656</t>
  </si>
  <si>
    <t>32285001380475</t>
  </si>
  <si>
    <t>893227209</t>
  </si>
  <si>
    <t>RJ506.A9 K38 1976</t>
  </si>
  <si>
    <t>0                      RJ 0506000A  9                  K  38          1976</t>
  </si>
  <si>
    <t>Son-rise / Barry Neil Kaufman.</t>
  </si>
  <si>
    <t>New York : Harper &amp; Row, c1976.</t>
  </si>
  <si>
    <t>889567627:eng</t>
  </si>
  <si>
    <t>1848976</t>
  </si>
  <si>
    <t>991003909599702656</t>
  </si>
  <si>
    <t>2257299520002656</t>
  </si>
  <si>
    <t>9780060122768</t>
  </si>
  <si>
    <t>32285003094215</t>
  </si>
  <si>
    <t>893794253</t>
  </si>
  <si>
    <t>RJ506.A9 K64 1982</t>
  </si>
  <si>
    <t>0                      RJ 0506000A  9                  K  64          1982</t>
  </si>
  <si>
    <t>How to teach autistic and other severely handicapped children / by Robert L. Koegel and Laura Schreibman.</t>
  </si>
  <si>
    <t>Koegel, Robert L., 1944-</t>
  </si>
  <si>
    <t>Lawrence, KS : H&amp;H Enterprises, c1982.</t>
  </si>
  <si>
    <t>ksu</t>
  </si>
  <si>
    <t>2008-02-21</t>
  </si>
  <si>
    <t>3902718241:eng</t>
  </si>
  <si>
    <t>8643722</t>
  </si>
  <si>
    <t>991001797869702656</t>
  </si>
  <si>
    <t>2272371710002656</t>
  </si>
  <si>
    <t>9780890790656</t>
  </si>
  <si>
    <t>32285001384766</t>
  </si>
  <si>
    <t>893340706</t>
  </si>
  <si>
    <t>RJ506.A9 K644 1982</t>
  </si>
  <si>
    <t>0                      RJ 0506000A  9                  K  644         1982</t>
  </si>
  <si>
    <t>How to integrate autistic and other severely handicapped children into a classroom / by Robert L. Koegel.</t>
  </si>
  <si>
    <t>Lawrence, KS : H&amp;H Enterprises, Inc., c1982.</t>
  </si>
  <si>
    <t>2001-11-29</t>
  </si>
  <si>
    <t>1990-04-04</t>
  </si>
  <si>
    <t>139790:eng</t>
  </si>
  <si>
    <t>8643689</t>
  </si>
  <si>
    <t>991000040119702656</t>
  </si>
  <si>
    <t>2272430950002656</t>
  </si>
  <si>
    <t>9780890790649</t>
  </si>
  <si>
    <t>32285000110121</t>
  </si>
  <si>
    <t>893896561</t>
  </si>
  <si>
    <t>RJ506.A9 K69 1983</t>
  </si>
  <si>
    <t>0                      RJ 0506000A  9                  K  69          1983</t>
  </si>
  <si>
    <t>Reaching the autistic child : a parent training program / Martin A. Kozloff.</t>
  </si>
  <si>
    <t>Kozloff, Martin A.</t>
  </si>
  <si>
    <t>Cambridge, MA. : Brookline Books, [1983] c1973.</t>
  </si>
  <si>
    <t>537795:eng</t>
  </si>
  <si>
    <t>10207935</t>
  </si>
  <si>
    <t>991000332299702656</t>
  </si>
  <si>
    <t>2265059270002656</t>
  </si>
  <si>
    <t>9780914797029</t>
  </si>
  <si>
    <t>32285000110139</t>
  </si>
  <si>
    <t>893224907</t>
  </si>
  <si>
    <t>RJ506.A9 K8</t>
  </si>
  <si>
    <t>0                      RJ 0506000A  9                  K  8</t>
  </si>
  <si>
    <t>The autistic child / by I. Newton Kugelmass.</t>
  </si>
  <si>
    <t>Kugelmass, I. Newton (Isaac Newton), 1896-</t>
  </si>
  <si>
    <t>American lecture series ; publication no. 766</t>
  </si>
  <si>
    <t>2009-11-04</t>
  </si>
  <si>
    <t>1990-05-30</t>
  </si>
  <si>
    <t>3943852719:eng</t>
  </si>
  <si>
    <t>89259</t>
  </si>
  <si>
    <t>991000528299702656</t>
  </si>
  <si>
    <t>2258784140002656</t>
  </si>
  <si>
    <t>32285000159904</t>
  </si>
  <si>
    <t>893601825</t>
  </si>
  <si>
    <t>RJ506.A9 L68</t>
  </si>
  <si>
    <t>0                      RJ 0506000A  9                  L  68</t>
  </si>
  <si>
    <t>The autistic child : language development through behavior modification / by O. Ivar Lovaas.</t>
  </si>
  <si>
    <t>Lovaas, O. Ivar (Ole Ivar), 1927-2010.</t>
  </si>
  <si>
    <t>New York : Irvington Publishers : distributed by Halsted Press, c1977.</t>
  </si>
  <si>
    <t>2000-03-14</t>
  </si>
  <si>
    <t>1990-02-19</t>
  </si>
  <si>
    <t>494621:eng</t>
  </si>
  <si>
    <t>2089468</t>
  </si>
  <si>
    <t>991004008459702656</t>
  </si>
  <si>
    <t>2263391740002656</t>
  </si>
  <si>
    <t>9780470150658</t>
  </si>
  <si>
    <t>32285000042647</t>
  </si>
  <si>
    <t>893599309</t>
  </si>
  <si>
    <t>RJ506.A9 M39 1993</t>
  </si>
  <si>
    <t>0                      RJ 0506000A  9                  M  39          1993</t>
  </si>
  <si>
    <t>Let me hear your voice : a family's triumph over autism / Catherine Maurice.</t>
  </si>
  <si>
    <t>Maurice, Catherine.</t>
  </si>
  <si>
    <t>New York : Knopf, 1993.</t>
  </si>
  <si>
    <t>2007-08-30</t>
  </si>
  <si>
    <t>1993-08-09</t>
  </si>
  <si>
    <t>27973129:eng</t>
  </si>
  <si>
    <t>26633221</t>
  </si>
  <si>
    <t>991002077159702656</t>
  </si>
  <si>
    <t>2255439420002656</t>
  </si>
  <si>
    <t>9780679408635</t>
  </si>
  <si>
    <t>32285001725695</t>
  </si>
  <si>
    <t>893439747</t>
  </si>
  <si>
    <t>RJ506.A9 M67</t>
  </si>
  <si>
    <t>0                      RJ 0506000A  9                  M  67</t>
  </si>
  <si>
    <t>The unreachable child : an introduction to early childhood autism / Sam B. Morgan.</t>
  </si>
  <si>
    <t>Morgan, Sam B., 1932-</t>
  </si>
  <si>
    <t>Memphis : Memphis State University Press, c1981.</t>
  </si>
  <si>
    <t>tnu</t>
  </si>
  <si>
    <t>2005-02-11</t>
  </si>
  <si>
    <t>427524689:eng</t>
  </si>
  <si>
    <t>7196310</t>
  </si>
  <si>
    <t>991005085559702656</t>
  </si>
  <si>
    <t>2255604610002656</t>
  </si>
  <si>
    <t>9780878702015</t>
  </si>
  <si>
    <t>32285000219120</t>
  </si>
  <si>
    <t>893520399</t>
  </si>
  <si>
    <t>RJ506.A9 N44 1984</t>
  </si>
  <si>
    <t>0                      RJ 0506000A  9                  N  44          1984</t>
  </si>
  <si>
    <t>Children with autism and other pervasive disorders of development &amp; behavior : therapy through activities / David L. Nelson.</t>
  </si>
  <si>
    <t>Nelson, David L.</t>
  </si>
  <si>
    <t>Thorofare, NJ : Slack, c1984.</t>
  </si>
  <si>
    <t>2002-10-14</t>
  </si>
  <si>
    <t>1996-05-29</t>
  </si>
  <si>
    <t>4172286:eng</t>
  </si>
  <si>
    <t>11533654</t>
  </si>
  <si>
    <t>991000551729702656</t>
  </si>
  <si>
    <t>2258208370002656</t>
  </si>
  <si>
    <t>9780913590959</t>
  </si>
  <si>
    <t>32285002121472</t>
  </si>
  <si>
    <t>893231201</t>
  </si>
  <si>
    <t>RJ506.A9 P27</t>
  </si>
  <si>
    <t>0                      RJ 0506000A  9                  P  27</t>
  </si>
  <si>
    <t>Autism : a practical guide for parents and professionals / Maria J. Paluszny, with contributions from James L. Paul ... [et al.] ; foreword by Eric Schopler.</t>
  </si>
  <si>
    <t>Paluszny, Maria J.</t>
  </si>
  <si>
    <t>Syracuse, N.Y. : Syracuse University Press, 1979.</t>
  </si>
  <si>
    <t>1991-12-16</t>
  </si>
  <si>
    <t>31289326:eng</t>
  </si>
  <si>
    <t>4549626</t>
  </si>
  <si>
    <t>991004678219702656</t>
  </si>
  <si>
    <t>2272652770002656</t>
  </si>
  <si>
    <t>9780815622123</t>
  </si>
  <si>
    <t>32285000906874</t>
  </si>
  <si>
    <t>893526379</t>
  </si>
  <si>
    <t>RJ506.A9 P3 1972</t>
  </si>
  <si>
    <t>0                      RJ 0506000A  9                  P  3           1972</t>
  </si>
  <si>
    <t>The siege; the first eight years of an autistic child.</t>
  </si>
  <si>
    <t>Park, Clara Claiborne.</t>
  </si>
  <si>
    <t>1995-10-25</t>
  </si>
  <si>
    <t>2286801585:eng</t>
  </si>
  <si>
    <t>966005</t>
  </si>
  <si>
    <t>991003431379702656</t>
  </si>
  <si>
    <t>2262064330002656</t>
  </si>
  <si>
    <t>32285000802156</t>
  </si>
  <si>
    <t>893604784</t>
  </si>
  <si>
    <t>RJ506.A9 R4 1984</t>
  </si>
  <si>
    <t>0                      RJ 0506000A  9                  R  4           1984</t>
  </si>
  <si>
    <t>Readings in autism / [edited by] Ellen Weber Bell.</t>
  </si>
  <si>
    <t>Guilford, Conn. : Special Learning Corp., c1984.</t>
  </si>
  <si>
    <t>2003-08-13</t>
  </si>
  <si>
    <t>552322:eng</t>
  </si>
  <si>
    <t>11527383</t>
  </si>
  <si>
    <t>991004105009702656</t>
  </si>
  <si>
    <t>2262518250002656</t>
  </si>
  <si>
    <t>9780895684288</t>
  </si>
  <si>
    <t>32285000056688</t>
  </si>
  <si>
    <t>893423387</t>
  </si>
  <si>
    <t>RJ506.A9 R65 1981</t>
  </si>
  <si>
    <t>0                      RJ 0506000A  9                  R  65          1981</t>
  </si>
  <si>
    <t>How to create a curriculum for autistic and other handicapped children / by Raymond G. Romanczyk and Stephanie Lockshin.</t>
  </si>
  <si>
    <t>Romanczyk, Raymond G.</t>
  </si>
  <si>
    <t>Lawrence, Kan. : H &amp; H Enterprises, Inc., c1981.</t>
  </si>
  <si>
    <t>547087:eng</t>
  </si>
  <si>
    <t>7823146</t>
  </si>
  <si>
    <t>991005165119702656</t>
  </si>
  <si>
    <t>2254813720002656</t>
  </si>
  <si>
    <t>9780890790571</t>
  </si>
  <si>
    <t>32285001529626</t>
  </si>
  <si>
    <t>893606940</t>
  </si>
  <si>
    <t>RJ506.A9 S4 1988</t>
  </si>
  <si>
    <t>0                      RJ 0506000A  9                  S  4           1988</t>
  </si>
  <si>
    <t>Autism / Laura Schreibman.</t>
  </si>
  <si>
    <t>Schreibman, Laura Ellen.</t>
  </si>
  <si>
    <t>Newbury Park, Calif. : Sage Publications, c1988.</t>
  </si>
  <si>
    <t>Developmental clinical psychology and psychiatry ; v. 15</t>
  </si>
  <si>
    <t>2006-02-18</t>
  </si>
  <si>
    <t>14470822:eng</t>
  </si>
  <si>
    <t>17413678</t>
  </si>
  <si>
    <t>991001215499702656</t>
  </si>
  <si>
    <t>2264988790002656</t>
  </si>
  <si>
    <t>9780803928107</t>
  </si>
  <si>
    <t>32285000843382</t>
  </si>
  <si>
    <t>893351813</t>
  </si>
  <si>
    <t>RJ506.A9 S79</t>
  </si>
  <si>
    <t>0                      RJ 0506000A  9                  S  79</t>
  </si>
  <si>
    <t>Tommy : a treatment study of an autistic child.</t>
  </si>
  <si>
    <t>Stuecher, Uwe.</t>
  </si>
  <si>
    <t>Arlington, Va. : Council for Exceptional Children, [1972]</t>
  </si>
  <si>
    <t>vau</t>
  </si>
  <si>
    <t>2002-10-16</t>
  </si>
  <si>
    <t>1991-02-22</t>
  </si>
  <si>
    <t>1722553:eng</t>
  </si>
  <si>
    <t>579368</t>
  </si>
  <si>
    <t>991003013659702656</t>
  </si>
  <si>
    <t>2255765630002656</t>
  </si>
  <si>
    <t>32285000499367</t>
  </si>
  <si>
    <t>893251913</t>
  </si>
  <si>
    <t>RJ506.A9 W5 1976</t>
  </si>
  <si>
    <t>0                      RJ 0506000A  9                  W  5           1976</t>
  </si>
  <si>
    <t>Early childhood autism : clinical, educational, and social aspects / edited by Lorna Wing.</t>
  </si>
  <si>
    <t>Oxford ; New York : Pergamon Press, 1976.</t>
  </si>
  <si>
    <t>Pergamon international library of science, technology, engineering, and social studies</t>
  </si>
  <si>
    <t>2003-11-24</t>
  </si>
  <si>
    <t>1862362871:eng</t>
  </si>
  <si>
    <t>1500349</t>
  </si>
  <si>
    <t>991003785129702656</t>
  </si>
  <si>
    <t>2260373040002656</t>
  </si>
  <si>
    <t>9780080171777</t>
  </si>
  <si>
    <t>32285000426717</t>
  </si>
  <si>
    <t>893868862</t>
  </si>
  <si>
    <t>RJ506.A9 W52</t>
  </si>
  <si>
    <t>0                      RJ 0506000A  9                  W  52</t>
  </si>
  <si>
    <t>Autistic children : a guide for parents.</t>
  </si>
  <si>
    <t>Wing, Lorna.</t>
  </si>
  <si>
    <t>New York : Brunner/Mazel, [1972]</t>
  </si>
  <si>
    <t>2006-02-14</t>
  </si>
  <si>
    <t>2553200967:eng</t>
  </si>
  <si>
    <t>370223</t>
  </si>
  <si>
    <t>991002552219702656</t>
  </si>
  <si>
    <t>2260513150002656</t>
  </si>
  <si>
    <t>9780876300527</t>
  </si>
  <si>
    <t>32285000499342</t>
  </si>
  <si>
    <t>893597588</t>
  </si>
  <si>
    <t>RJ506.B44 S37 1991</t>
  </si>
  <si>
    <t>0                      RJ 0506000B  44                 S  37          1991</t>
  </si>
  <si>
    <t>Assessment and treatment of childhood problems : a clinician's guide / Carolyn S. Schroeder, Betty N. Gordon.</t>
  </si>
  <si>
    <t>Schroeder, Carolyn S.</t>
  </si>
  <si>
    <t>New York : Guilford Press, 1991.</t>
  </si>
  <si>
    <t>2004-02-06</t>
  </si>
  <si>
    <t>796392030:eng</t>
  </si>
  <si>
    <t>23974275</t>
  </si>
  <si>
    <t>991001898009702656</t>
  </si>
  <si>
    <t>2269291930002656</t>
  </si>
  <si>
    <t>9780898625653</t>
  </si>
  <si>
    <t>32285002374857</t>
  </si>
  <si>
    <t>893779172</t>
  </si>
  <si>
    <t>RJ506.C48 B44 1993</t>
  </si>
  <si>
    <t>0                      RJ 0506000C  48                 B  44          1993</t>
  </si>
  <si>
    <t>Behind the playground walls : sexual abuse in preschools / Jill Waterman ... [et al.].</t>
  </si>
  <si>
    <t>New York : Guilford Press, c1993.</t>
  </si>
  <si>
    <t>1998-06-20</t>
  </si>
  <si>
    <t>1994-12-22</t>
  </si>
  <si>
    <t>152313891:eng</t>
  </si>
  <si>
    <t>25091276</t>
  </si>
  <si>
    <t>991001977439702656</t>
  </si>
  <si>
    <t>2263549500002656</t>
  </si>
  <si>
    <t>9780898622553</t>
  </si>
  <si>
    <t>32285001978229</t>
  </si>
  <si>
    <t>893892002</t>
  </si>
  <si>
    <t>RJ506.C48 B74 1987</t>
  </si>
  <si>
    <t>0                      RJ 0506000C  48                 B  74          1987</t>
  </si>
  <si>
    <t>The adolescent molester / by William Breer.</t>
  </si>
  <si>
    <t>Breer, William.</t>
  </si>
  <si>
    <t>Springfield, Ill., U.S.A. : C.C. Thomas, c1987.</t>
  </si>
  <si>
    <t>10811402:eng</t>
  </si>
  <si>
    <t>15548945</t>
  </si>
  <si>
    <t>991001035669702656</t>
  </si>
  <si>
    <t>2261278160002656</t>
  </si>
  <si>
    <t>9780398053512</t>
  </si>
  <si>
    <t>32285000821057</t>
  </si>
  <si>
    <t>893589970</t>
  </si>
  <si>
    <t>RJ506.C48 F74 1996</t>
  </si>
  <si>
    <t>0                      RJ 0506000C  48                 F  74          1996</t>
  </si>
  <si>
    <t>Betrayal trauma : the logic of forgetting childhood abuse / Jennifer J. Freyd.</t>
  </si>
  <si>
    <t>Freyd, Jennifer J.</t>
  </si>
  <si>
    <t>Cambridge, Mass. : Harvard University Press, 1996.</t>
  </si>
  <si>
    <t>2678244:eng</t>
  </si>
  <si>
    <t>34912554</t>
  </si>
  <si>
    <t>991002668829702656</t>
  </si>
  <si>
    <t>2259129220002656</t>
  </si>
  <si>
    <t>9780674068056</t>
  </si>
  <si>
    <t>32285002606142</t>
  </si>
  <si>
    <t>893773891</t>
  </si>
  <si>
    <t>RJ506.C48 S49 1992</t>
  </si>
  <si>
    <t>0                      RJ 0506000C  48                 S  49          1992</t>
  </si>
  <si>
    <t>The Sexual abuse of children : clinical issues, volume 2 / edited by William O'Donohue, James H. Geer.</t>
  </si>
  <si>
    <t>2003-03-17</t>
  </si>
  <si>
    <t>1992-06-24</t>
  </si>
  <si>
    <t>1151479002:eng</t>
  </si>
  <si>
    <t>23649832</t>
  </si>
  <si>
    <t>991001872499702656</t>
  </si>
  <si>
    <t>2261829200002656</t>
  </si>
  <si>
    <t>9780805809800</t>
  </si>
  <si>
    <t>32285001156214</t>
  </si>
  <si>
    <t>893772981</t>
  </si>
  <si>
    <t>RJ506.C63 H37</t>
  </si>
  <si>
    <t>0                      RJ 0506000C  63                 H  37</t>
  </si>
  <si>
    <t>Disordered thinking and communication in children / Mahin Hassibi and Harry Breuer, Jr.</t>
  </si>
  <si>
    <t>Hassibi, Mahin, 1937-</t>
  </si>
  <si>
    <t>New York : Plenum Press, c1980.</t>
  </si>
  <si>
    <t>1998-11-09</t>
  </si>
  <si>
    <t>23851146:eng</t>
  </si>
  <si>
    <t>6762678</t>
  </si>
  <si>
    <t>991005037629702656</t>
  </si>
  <si>
    <t>2262843130002656</t>
  </si>
  <si>
    <t>9780306404900</t>
  </si>
  <si>
    <t>32285001031607</t>
  </si>
  <si>
    <t>893430746</t>
  </si>
  <si>
    <t>RJ506.C65 F75 1998</t>
  </si>
  <si>
    <t>0                      RJ 0506000C  65                 F  75          1998</t>
  </si>
  <si>
    <t>Conduct disorders and severe antisocial behavior / Paul J. Frick.</t>
  </si>
  <si>
    <t>Frick, Paul J.</t>
  </si>
  <si>
    <t>New York : Plenum Press, c1998.</t>
  </si>
  <si>
    <t>Clinical child psychology library</t>
  </si>
  <si>
    <t>2001-11-07</t>
  </si>
  <si>
    <t>1999-02-25</t>
  </si>
  <si>
    <t>42450254:eng</t>
  </si>
  <si>
    <t>38590002</t>
  </si>
  <si>
    <t>991002917999702656</t>
  </si>
  <si>
    <t>2269707860002656</t>
  </si>
  <si>
    <t>9780306458408</t>
  </si>
  <si>
    <t>32285003527230</t>
  </si>
  <si>
    <t>893886903</t>
  </si>
  <si>
    <t>RJ506.C65 K389 1996</t>
  </si>
  <si>
    <t>0                      RJ 0506000C  65                 K  389         1996</t>
  </si>
  <si>
    <t>Conduct disorders in childhood and adolescence / Alan E. Kazdin.</t>
  </si>
  <si>
    <t>Kazdin, Alan E.</t>
  </si>
  <si>
    <t>Thousand Oaks, Calif. : Sage Publications, Inc., c1996.</t>
  </si>
  <si>
    <t>Developmental clinical psychology and psychiatry ; vol. 9</t>
  </si>
  <si>
    <t>2010-04-06</t>
  </si>
  <si>
    <t>1997-01-02</t>
  </si>
  <si>
    <t>4495070065:eng</t>
  </si>
  <si>
    <t>31940359</t>
  </si>
  <si>
    <t>991002449979702656</t>
  </si>
  <si>
    <t>2258466910002656</t>
  </si>
  <si>
    <t>9780803971806</t>
  </si>
  <si>
    <t>32285002404324</t>
  </si>
  <si>
    <t>893257303</t>
  </si>
  <si>
    <t>RJ506.C65 P37 1992</t>
  </si>
  <si>
    <t>0                      RJ 0506000C  65                 P  37          1992</t>
  </si>
  <si>
    <t>Antisocial boys / Gerald R. Patterson, John B. Reid, Thomas J. Dishion.</t>
  </si>
  <si>
    <t>Patterson, Gerald R.</t>
  </si>
  <si>
    <t>Eugene, OR : Castalia Pub. Co., c1992.</t>
  </si>
  <si>
    <t>A social interactional approach ; v. 4</t>
  </si>
  <si>
    <t>2008-06-13</t>
  </si>
  <si>
    <t>1992-09-22</t>
  </si>
  <si>
    <t>5611356064:eng</t>
  </si>
  <si>
    <t>26296976</t>
  </si>
  <si>
    <t>991005415539702656</t>
  </si>
  <si>
    <t>2259294890002656</t>
  </si>
  <si>
    <t>9780916154035</t>
  </si>
  <si>
    <t>32285001287977</t>
  </si>
  <si>
    <t>893431467</t>
  </si>
  <si>
    <t>RJ506.C65 P74 1992</t>
  </si>
  <si>
    <t>0                      RJ 0506000C  65                 P  74          1992</t>
  </si>
  <si>
    <t>Preventing antisocial behavior : interventions from birth through adolescence / Joan McCord, Richard E. Tremblay, editors.</t>
  </si>
  <si>
    <t>New York : Guilford Press, c1992.</t>
  </si>
  <si>
    <t>2010-01-07</t>
  </si>
  <si>
    <t>1993-09-14</t>
  </si>
  <si>
    <t>890727100:eng</t>
  </si>
  <si>
    <t>25316723</t>
  </si>
  <si>
    <t>991001993219702656</t>
  </si>
  <si>
    <t>2268126380002656</t>
  </si>
  <si>
    <t>9780898628821</t>
  </si>
  <si>
    <t>32285001766285</t>
  </si>
  <si>
    <t>893328561</t>
  </si>
  <si>
    <t>RJ506.D4 A38 1983</t>
  </si>
  <si>
    <t>0                      RJ 0506000D  4                  A  38          1983</t>
  </si>
  <si>
    <t>Affective disorders in childhood and adolescence, an update / edited by Dennis P. Cantwell and Gabrielle A. Carlson.</t>
  </si>
  <si>
    <t>Series on child behavior and development</t>
  </si>
  <si>
    <t>1992-03-17</t>
  </si>
  <si>
    <t>836636788:eng</t>
  </si>
  <si>
    <t>9758511</t>
  </si>
  <si>
    <t>991000251649702656</t>
  </si>
  <si>
    <t>2257031580002656</t>
  </si>
  <si>
    <t>9780893351892</t>
  </si>
  <si>
    <t>32285001005569</t>
  </si>
  <si>
    <t>893438129</t>
  </si>
  <si>
    <t>RJ506.D4 C47 1983</t>
  </si>
  <si>
    <t>0                      RJ 0506000D  4                  C  47          1983</t>
  </si>
  <si>
    <t>Childhood depression / Theodore A. Petti, editor.</t>
  </si>
  <si>
    <t>New York : Haworth Press, c1983.</t>
  </si>
  <si>
    <t>1992-03-20</t>
  </si>
  <si>
    <t>54552063:eng</t>
  </si>
  <si>
    <t>9195542</t>
  </si>
  <si>
    <t>991000146239702656</t>
  </si>
  <si>
    <t>2266452890002656</t>
  </si>
  <si>
    <t>9780917724954</t>
  </si>
  <si>
    <t>32285001025286</t>
  </si>
  <si>
    <t>893695634</t>
  </si>
  <si>
    <t>RJ506.D4 C536 1984</t>
  </si>
  <si>
    <t>0                      RJ 0506000D  4                  C  536         1984</t>
  </si>
  <si>
    <t>Childhood depression / Dante Cicchetti, Karen Schneider-Rosen, editors.</t>
  </si>
  <si>
    <t>San Francisco : Jossey-Bass, c1984.</t>
  </si>
  <si>
    <t>New directions for child development, 0195-2269 ; no. 26 (December 1984)</t>
  </si>
  <si>
    <t>2001-03-21</t>
  </si>
  <si>
    <t>355911452:eng</t>
  </si>
  <si>
    <t>13524466</t>
  </si>
  <si>
    <t>991000577129702656</t>
  </si>
  <si>
    <t>2263109400002656</t>
  </si>
  <si>
    <t>9780875899862</t>
  </si>
  <si>
    <t>32285001025278</t>
  </si>
  <si>
    <t>893339677</t>
  </si>
  <si>
    <t>RJ506.D4 C66 1975</t>
  </si>
  <si>
    <t>0                      RJ 0506000D  4                  C  66          1975</t>
  </si>
  <si>
    <t>Depression in childhood : diagnosis, treatment, and conceptual models / edited by Joy G. Schulterbrandt and Allen Raskin.</t>
  </si>
  <si>
    <t>Conference on Depression in Childhood (1975 : Washington, D.C.)</t>
  </si>
  <si>
    <t>New York : Raven Press, 1977.</t>
  </si>
  <si>
    <t>890490674:eng</t>
  </si>
  <si>
    <t>3003304</t>
  </si>
  <si>
    <t>991001781729702656</t>
  </si>
  <si>
    <t>2270929390002656</t>
  </si>
  <si>
    <t>9780890041475</t>
  </si>
  <si>
    <t>32285001025260</t>
  </si>
  <si>
    <t>893803891</t>
  </si>
  <si>
    <t>RJ506.D4 D46</t>
  </si>
  <si>
    <t>0                      RJ 0506000D  4                  D  46</t>
  </si>
  <si>
    <t>Depression in children and adolescents / edited by Alfred P. French, Irving N. Berlin.</t>
  </si>
  <si>
    <t>New York : Human Sciences Press, 1979.</t>
  </si>
  <si>
    <t>375321567:eng</t>
  </si>
  <si>
    <t>4983440</t>
  </si>
  <si>
    <t>991005257639702656</t>
  </si>
  <si>
    <t>2265955840002656</t>
  </si>
  <si>
    <t>9780877053903</t>
  </si>
  <si>
    <t>32285000998871</t>
  </si>
  <si>
    <t>893424808</t>
  </si>
  <si>
    <t>RJ506.D4 D48 1986</t>
  </si>
  <si>
    <t>0                      RJ 0506000D  4                  D  48          1986</t>
  </si>
  <si>
    <t>Depression in young people : developmental and clinical perspectives / edited by Michael Rutter, Carroll E. Izard, Peter B. Read.</t>
  </si>
  <si>
    <t>2007-04-11</t>
  </si>
  <si>
    <t>865283318:eng</t>
  </si>
  <si>
    <t>11782868</t>
  </si>
  <si>
    <t>991000588019702656</t>
  </si>
  <si>
    <t>2255052640002656</t>
  </si>
  <si>
    <t>9780898626605</t>
  </si>
  <si>
    <t>32285000948371</t>
  </si>
  <si>
    <t>893333606</t>
  </si>
  <si>
    <t>RJ506.D4 I54 1995</t>
  </si>
  <si>
    <t>0                      RJ 0506000D  4                  I  54          1995</t>
  </si>
  <si>
    <t>Lonely, sad, and angry : a parent's guide to depression in children and adolescents / Barbara D. Ingersoll and Sam Goldstein.</t>
  </si>
  <si>
    <t>Ingersoll, Barbara D., 1945-</t>
  </si>
  <si>
    <t>New York : Doubleday, 1995.</t>
  </si>
  <si>
    <t>1996-08-15</t>
  </si>
  <si>
    <t>863860376:eng</t>
  </si>
  <si>
    <t>31658734</t>
  </si>
  <si>
    <t>991002429029702656</t>
  </si>
  <si>
    <t>2267688300002656</t>
  </si>
  <si>
    <t>9780385476416</t>
  </si>
  <si>
    <t>32285002290251</t>
  </si>
  <si>
    <t>893804603</t>
  </si>
  <si>
    <t>RJ506.D4 M34 1983</t>
  </si>
  <si>
    <t>0                      RJ 0506000D  4                  M  34          1983</t>
  </si>
  <si>
    <t>Why isn't Johnny crying : coping with depression in children / Donald H. McKnew, Leon Cytryn, Herbert Yahraes ; with a foreword by Reginald S. Lourie.</t>
  </si>
  <si>
    <t>McKnew, Donald H.</t>
  </si>
  <si>
    <t>New York : W.W. Norton, c1983.</t>
  </si>
  <si>
    <t>2005-09-26</t>
  </si>
  <si>
    <t>836708098:eng</t>
  </si>
  <si>
    <t>9044250</t>
  </si>
  <si>
    <t>991000126189702656</t>
  </si>
  <si>
    <t>2254848090002656</t>
  </si>
  <si>
    <t>9780393017243</t>
  </si>
  <si>
    <t>32285001021988</t>
  </si>
  <si>
    <t>893413102</t>
  </si>
  <si>
    <t>RJ506.D4 T72 1987</t>
  </si>
  <si>
    <t>0                      RJ 0506000D  4                  T  72          1987</t>
  </si>
  <si>
    <t>Infant and childhood depression : developmental factors / Paul V. Trad.</t>
  </si>
  <si>
    <t>Trad, Paul V.</t>
  </si>
  <si>
    <t>1990-04-20</t>
  </si>
  <si>
    <t>374128508:eng</t>
  </si>
  <si>
    <t>14717933</t>
  </si>
  <si>
    <t>991000955849702656</t>
  </si>
  <si>
    <t>2257099890002656</t>
  </si>
  <si>
    <t>32285000123868</t>
  </si>
  <si>
    <t>893596065</t>
  </si>
  <si>
    <t>RJ506.D47 R44 1989</t>
  </si>
  <si>
    <t>0                      RJ 0506000D  47                 R  44          1989</t>
  </si>
  <si>
    <t>Relationship disturbances in early childhood : a development approach / edited by Arnold J. Sameroff and Robert N. Emde ; in association with T.F. Anders ... [et al.]</t>
  </si>
  <si>
    <t>New York : Basic Books, c1989.</t>
  </si>
  <si>
    <t>1996-04-10</t>
  </si>
  <si>
    <t>1989-11-16</t>
  </si>
  <si>
    <t>890072183:eng</t>
  </si>
  <si>
    <t>19268734</t>
  </si>
  <si>
    <t>991001445099702656</t>
  </si>
  <si>
    <t>2268058960002656</t>
  </si>
  <si>
    <t>9780465068975</t>
  </si>
  <si>
    <t>32285000013630</t>
  </si>
  <si>
    <t>893690637</t>
  </si>
  <si>
    <t>RJ506.D55 P87 1997</t>
  </si>
  <si>
    <t>0                      RJ 0506000D  55                 P  87          1997</t>
  </si>
  <si>
    <t>Dissociation in children and adolescents : a developmental perspective / Frank W. Putnam.</t>
  </si>
  <si>
    <t>Putnam, Frank W., 1947-</t>
  </si>
  <si>
    <t>New York : Guilford Press, c1997.</t>
  </si>
  <si>
    <t>2009-03-06</t>
  </si>
  <si>
    <t>1998-12-16</t>
  </si>
  <si>
    <t>684039:eng</t>
  </si>
  <si>
    <t>36892867</t>
  </si>
  <si>
    <t>991002808249702656</t>
  </si>
  <si>
    <t>2264999770002656</t>
  </si>
  <si>
    <t>9781572302198</t>
  </si>
  <si>
    <t>32285003507125</t>
  </si>
  <si>
    <t>893716942</t>
  </si>
  <si>
    <t>RJ506.D57 G37</t>
  </si>
  <si>
    <t>0                      RJ 0506000D  57                 G  37</t>
  </si>
  <si>
    <t>Psychotherapy with children of divorce / Richard A. Gardner.</t>
  </si>
  <si>
    <t>Gardner, Richard A.</t>
  </si>
  <si>
    <t>New York : J. Aronson, c1976.</t>
  </si>
  <si>
    <t>2002-10-21</t>
  </si>
  <si>
    <t>534721:eng</t>
  </si>
  <si>
    <t>2212887</t>
  </si>
  <si>
    <t>991004051089702656</t>
  </si>
  <si>
    <t>2255699750002656</t>
  </si>
  <si>
    <t>9780876682401</t>
  </si>
  <si>
    <t>32285000838572</t>
  </si>
  <si>
    <t>893240960</t>
  </si>
  <si>
    <t>RJ506.D68 B3318 1998</t>
  </si>
  <si>
    <t>0                      RJ 0506000D  68                 B  3318        1998</t>
  </si>
  <si>
    <t>Bebés con sindrome de Down : guía para padres / compilado por Karen Stray-Gundersen ; [prologo por Ann M. Forts].</t>
  </si>
  <si>
    <t>Babies with Down syndrome. Spanish.</t>
  </si>
  <si>
    <t>Bethesda, MD : Woodbine House, 1998.</t>
  </si>
  <si>
    <t>spa</t>
  </si>
  <si>
    <t>3944046742:spa</t>
  </si>
  <si>
    <t>37043843</t>
  </si>
  <si>
    <t>991004181609702656</t>
  </si>
  <si>
    <t>2254838700002656</t>
  </si>
  <si>
    <t>9780933149915</t>
  </si>
  <si>
    <t>32285004798939</t>
  </si>
  <si>
    <t>893706077</t>
  </si>
  <si>
    <t>RJ506.D68 H30</t>
  </si>
  <si>
    <t>0                      RJ 0506000D  68                 H  30</t>
  </si>
  <si>
    <t>Teaching your Down's syndrome infant : a guide for parents / by Marci J. Hanson ; book design by Arden Munkres. --</t>
  </si>
  <si>
    <t>Hanson, Marci J.</t>
  </si>
  <si>
    <t>[Eugene, Or.] : University of Oregon, 1977.</t>
  </si>
  <si>
    <t>1999-12-16</t>
  </si>
  <si>
    <t>7955604:eng</t>
  </si>
  <si>
    <t>3836775</t>
  </si>
  <si>
    <t>991004524299702656</t>
  </si>
  <si>
    <t>2255666270002656</t>
  </si>
  <si>
    <t>32285002121381</t>
  </si>
  <si>
    <t>893417736</t>
  </si>
  <si>
    <t>RJ506.D68 K86 2003</t>
  </si>
  <si>
    <t>0                      RJ 0506000D  68                 K  86          2003</t>
  </si>
  <si>
    <t>Early communication skills for children with down syndrome : a guide for parents and professionals / Libby Kumin.</t>
  </si>
  <si>
    <t>Kumin, Libby.</t>
  </si>
  <si>
    <t>Bethesda, MD : Woodbine House, 2003.</t>
  </si>
  <si>
    <t>Topics in Down syndrome</t>
  </si>
  <si>
    <t>2010-10-14</t>
  </si>
  <si>
    <t>838395486:eng</t>
  </si>
  <si>
    <t>51992259</t>
  </si>
  <si>
    <t>991004181379702656</t>
  </si>
  <si>
    <t>2267041200002656</t>
  </si>
  <si>
    <t>9781890627270</t>
  </si>
  <si>
    <t>32285004799069</t>
  </si>
  <si>
    <t>893888390</t>
  </si>
  <si>
    <t>RJ506.D78 A364 1992</t>
  </si>
  <si>
    <t>0                      RJ 0506000D  78                 A  364         1992</t>
  </si>
  <si>
    <t>Adolescent substance abuse : etiology, treatment, and prevention / edited by Gary W. Lawson, Ann W. Lawson.</t>
  </si>
  <si>
    <t>Gaithersburg, Md. : Aspen Publishers, 1992.</t>
  </si>
  <si>
    <t>2000-09-27</t>
  </si>
  <si>
    <t>766843684:eng</t>
  </si>
  <si>
    <t>25834311</t>
  </si>
  <si>
    <t>991002030209702656</t>
  </si>
  <si>
    <t>2263074970002656</t>
  </si>
  <si>
    <t>9780834202542</t>
  </si>
  <si>
    <t>32285001403988</t>
  </si>
  <si>
    <t>893615607</t>
  </si>
  <si>
    <t>RJ506.D78 N89 1990</t>
  </si>
  <si>
    <t>0                      RJ 0506000D  78                 N  89          1990</t>
  </si>
  <si>
    <t>Substance abuse in adolescents and young adults : a guide to treatment / Joseph Nowinski.</t>
  </si>
  <si>
    <t>Nowinski, Joseph.</t>
  </si>
  <si>
    <t>New York : Norton, c1990.</t>
  </si>
  <si>
    <t>2002-11-21</t>
  </si>
  <si>
    <t>432730638:eng</t>
  </si>
  <si>
    <t>20759172</t>
  </si>
  <si>
    <t>991003933049702656</t>
  </si>
  <si>
    <t>2268688960002656</t>
  </si>
  <si>
    <t>9780393700978</t>
  </si>
  <si>
    <t>32285004665864</t>
  </si>
  <si>
    <t>893435679</t>
  </si>
  <si>
    <t>RJ506.E18 L48 1987</t>
  </si>
  <si>
    <t>0                      RJ 0506000E  18                 L  48          1987</t>
  </si>
  <si>
    <t>Student eating disorders : anorexia nervosa and bulimia / by Michael P. Levine ; introduction by David M. Garner.</t>
  </si>
  <si>
    <t>Levine, Michael P.</t>
  </si>
  <si>
    <t>Washington, D.C. : National Education Association, c1987.</t>
  </si>
  <si>
    <t>How schools can help combat</t>
  </si>
  <si>
    <t>2003-10-24</t>
  </si>
  <si>
    <t>1990-02-21</t>
  </si>
  <si>
    <t>312193902:eng</t>
  </si>
  <si>
    <t>13861083</t>
  </si>
  <si>
    <t>991000885969702656</t>
  </si>
  <si>
    <t>2262409190002656</t>
  </si>
  <si>
    <t>9780810632905</t>
  </si>
  <si>
    <t>32285000058676</t>
  </si>
  <si>
    <t>893803143</t>
  </si>
  <si>
    <t>RJ506.E18 S68 2001</t>
  </si>
  <si>
    <t>0                      RJ 0506000E  18                 S  68          2001</t>
  </si>
  <si>
    <t>Trim kids : the proven 12-week plan that has helped thousands of children achieve a healthier weight / Melinda S. Sothern, T. Kristian von Almen, Heidi Schumacher.</t>
  </si>
  <si>
    <t>Sothern, Melinda.</t>
  </si>
  <si>
    <t>New York : HarperResource, c2001.</t>
  </si>
  <si>
    <t>2001</t>
  </si>
  <si>
    <t>2005-11-03</t>
  </si>
  <si>
    <t>2002-03-20</t>
  </si>
  <si>
    <t>650850:eng</t>
  </si>
  <si>
    <t>46671082</t>
  </si>
  <si>
    <t>991003742959702656</t>
  </si>
  <si>
    <t>2263452370002656</t>
  </si>
  <si>
    <t>9780060188153</t>
  </si>
  <si>
    <t>32285004463021</t>
  </si>
  <si>
    <t>893611385</t>
  </si>
  <si>
    <t>RJ506.F73 F74 1991</t>
  </si>
  <si>
    <t>0                      RJ 0506000F  73                 F  74          1991</t>
  </si>
  <si>
    <t>Fragile X syndrome : diagnosis, treatment, and research / edited by Randi Jenssen Hagerman and Amy Cronister Silverman.</t>
  </si>
  <si>
    <t>Baltimore : Johns Hopkins University Press, c1991.</t>
  </si>
  <si>
    <t>The Johns Hopkins series in contemporary medicine and public health</t>
  </si>
  <si>
    <t>2004-03-01</t>
  </si>
  <si>
    <t>1992-06-22</t>
  </si>
  <si>
    <t>836820939:eng</t>
  </si>
  <si>
    <t>23016498</t>
  </si>
  <si>
    <t>991001832349702656</t>
  </si>
  <si>
    <t>2264726440002656</t>
  </si>
  <si>
    <t>9780801841699</t>
  </si>
  <si>
    <t>32285001155265</t>
  </si>
  <si>
    <t>893509995</t>
  </si>
  <si>
    <t>RJ506.F73 S87 1985</t>
  </si>
  <si>
    <t>0                      RJ 0506000F  73                 S  87          1985</t>
  </si>
  <si>
    <t>Fragile sites on human chromosomes / Grant R. Sutherland and Frederick Hecht ; with contributions by John C. Mulley and Thoams W. Glover and Barbara K. Hecht.</t>
  </si>
  <si>
    <t>Sutherland, Grant R.</t>
  </si>
  <si>
    <t>New York : Oxford University Press, 1985.</t>
  </si>
  <si>
    <t>Oxford monographs on medical genetics ; no. 13</t>
  </si>
  <si>
    <t>3454127:eng</t>
  </si>
  <si>
    <t>10996651</t>
  </si>
  <si>
    <t>991000469979702656</t>
  </si>
  <si>
    <t>2262064860002656</t>
  </si>
  <si>
    <t>9780195035421</t>
  </si>
  <si>
    <t>32285001529634</t>
  </si>
  <si>
    <t>893425735</t>
  </si>
  <si>
    <t>RJ506.H9 B37 1981</t>
  </si>
  <si>
    <t>0                      RJ 0506000H  9                  B  37          1981</t>
  </si>
  <si>
    <t>Hyperactive children : a handbook for diagnosis and treatment / Russell A. Barkley ; foreword by Dennis P. Cantwell.</t>
  </si>
  <si>
    <t>Barkley, Russell A., 1949-</t>
  </si>
  <si>
    <t>New York : Guilford Press, c1981.</t>
  </si>
  <si>
    <t>2006-11-21</t>
  </si>
  <si>
    <t>1990-02-12</t>
  </si>
  <si>
    <t>12716490:eng</t>
  </si>
  <si>
    <t>7283890</t>
  </si>
  <si>
    <t>991005101239702656</t>
  </si>
  <si>
    <t>2259749520002656</t>
  </si>
  <si>
    <t>9780898626094</t>
  </si>
  <si>
    <t>32285000045590</t>
  </si>
  <si>
    <t>893789436</t>
  </si>
  <si>
    <t>RJ506.H9 C36</t>
  </si>
  <si>
    <t>0                      RJ 0506000H  9                  C  36</t>
  </si>
  <si>
    <t>The hyperactive child : diagnosis, management, current research / editor, Dennis P. Cantwell.</t>
  </si>
  <si>
    <t>Cantwell, Dennis P., 1939-</t>
  </si>
  <si>
    <t>New York : SP Books Division of Spectrum Publications : distributed by Halsted Press, [1975]</t>
  </si>
  <si>
    <t>Series on child behavior and development ; v. 1</t>
  </si>
  <si>
    <t>1998-03-01</t>
  </si>
  <si>
    <t>1991-11-19</t>
  </si>
  <si>
    <t>20408711:eng</t>
  </si>
  <si>
    <t>1601870</t>
  </si>
  <si>
    <t>991001772319702656</t>
  </si>
  <si>
    <t>2266536400002656</t>
  </si>
  <si>
    <t>9780470134412</t>
  </si>
  <si>
    <t>32285000821040</t>
  </si>
  <si>
    <t>893408344</t>
  </si>
  <si>
    <t>RJ506.H9 C65</t>
  </si>
  <si>
    <t>0                      RJ 0506000H  9                  C  65</t>
  </si>
  <si>
    <t>Food additives and hyperactive children / C. Keith Conners.</t>
  </si>
  <si>
    <t>Conners, C. Keith.</t>
  </si>
  <si>
    <t>437402:eng</t>
  </si>
  <si>
    <t>5946283</t>
  </si>
  <si>
    <t>991004904579702656</t>
  </si>
  <si>
    <t>2257662600002656</t>
  </si>
  <si>
    <t>9780306404009</t>
  </si>
  <si>
    <t>32285000821032</t>
  </si>
  <si>
    <t>893713185</t>
  </si>
  <si>
    <t>RJ506.H9 C653 1986</t>
  </si>
  <si>
    <t>0                      RJ 0506000H  9                  C  653         1986</t>
  </si>
  <si>
    <t>Hyperkinetic children : a neuropsychosocial approach / C. Keith Conners and Karen C. Wells.</t>
  </si>
  <si>
    <t>Developmental clinical psychology and psychiatry series ; v. 7</t>
  </si>
  <si>
    <t>2006-03-29</t>
  </si>
  <si>
    <t>4920790:eng</t>
  </si>
  <si>
    <t>12556510</t>
  </si>
  <si>
    <t>991000704999702656</t>
  </si>
  <si>
    <t>2255008150002656</t>
  </si>
  <si>
    <t>9780803922792</t>
  </si>
  <si>
    <t>32285000110097</t>
  </si>
  <si>
    <t>893696072</t>
  </si>
  <si>
    <t>RJ506.H9 C66</t>
  </si>
  <si>
    <t>0                      RJ 0506000H  9                  C  66</t>
  </si>
  <si>
    <t>Identifying hyperactive children : the medicalization of deviant behavior / Peter Conrad ; foreword by Mark A. Stewart.</t>
  </si>
  <si>
    <t>Conrad, Peter, 1945-</t>
  </si>
  <si>
    <t>Lexington, Mass. : Lexington Books, c1976.</t>
  </si>
  <si>
    <t>1993-11-16</t>
  </si>
  <si>
    <t>1991-10-31</t>
  </si>
  <si>
    <t>836650970:eng</t>
  </si>
  <si>
    <t>2047956</t>
  </si>
  <si>
    <t>991003991689702656</t>
  </si>
  <si>
    <t>2270686580002656</t>
  </si>
  <si>
    <t>9780669004991</t>
  </si>
  <si>
    <t>32285000803188</t>
  </si>
  <si>
    <t>893442045</t>
  </si>
  <si>
    <t>RJ506.H9 F4 1983</t>
  </si>
  <si>
    <t>0                      RJ 0506000H  9                  F  4           1983</t>
  </si>
  <si>
    <t>The Feingold handbook.</t>
  </si>
  <si>
    <t>Alexandria, VA : Feingold Association of the United States, c1983.</t>
  </si>
  <si>
    <t>1998-10-27</t>
  </si>
  <si>
    <t>54600354:eng</t>
  </si>
  <si>
    <t>9954542</t>
  </si>
  <si>
    <t>991001761129702656</t>
  </si>
  <si>
    <t>2264453620002656</t>
  </si>
  <si>
    <t>32285001529642</t>
  </si>
  <si>
    <t>893885518</t>
  </si>
  <si>
    <t>RJ506.H9 F7 1987</t>
  </si>
  <si>
    <t>0                      RJ 0506000H  9                  F  7           1987</t>
  </si>
  <si>
    <t>Attention deficit disorder and hyperactivity / Ronald J. Friedman and Guy T. Doyal.</t>
  </si>
  <si>
    <t>Friedman, Ronald J.</t>
  </si>
  <si>
    <t>Danville, Ill. : The Interstate, c1987.</t>
  </si>
  <si>
    <t>2000-02-28</t>
  </si>
  <si>
    <t>16002802:eng</t>
  </si>
  <si>
    <t>17687890</t>
  </si>
  <si>
    <t>991001253259702656</t>
  </si>
  <si>
    <t>2264220370002656</t>
  </si>
  <si>
    <t>32285000110113</t>
  </si>
  <si>
    <t>893522425</t>
  </si>
  <si>
    <t>RJ506.H9 H96 1977</t>
  </si>
  <si>
    <t>0                      RJ 0506000H  9                  H  96          1977</t>
  </si>
  <si>
    <t>The Hyperactive child and stimulant drugs / edited by James J. Bosco and Stanley S. Robin.</t>
  </si>
  <si>
    <t>Chicago : University of Chicago Press, 1977, c1976.</t>
  </si>
  <si>
    <t>1st book ed.</t>
  </si>
  <si>
    <t>2007-02-25</t>
  </si>
  <si>
    <t>1997-09-09</t>
  </si>
  <si>
    <t>355857292:eng</t>
  </si>
  <si>
    <t>2695068</t>
  </si>
  <si>
    <t>991004215139702656</t>
  </si>
  <si>
    <t>2264550990002656</t>
  </si>
  <si>
    <t>9780226066615</t>
  </si>
  <si>
    <t>32285003168944</t>
  </si>
  <si>
    <t>893446086</t>
  </si>
  <si>
    <t>RJ506.H9 H963</t>
  </si>
  <si>
    <t>0                      RJ 0506000H  9                  H  963</t>
  </si>
  <si>
    <t>Hyperactive children : the social ecology of identification and treatment / edited by Carol K. Whalen, Barbara Henker.</t>
  </si>
  <si>
    <t>894395923:eng</t>
  </si>
  <si>
    <t>5992215</t>
  </si>
  <si>
    <t>991004911069702656</t>
  </si>
  <si>
    <t>2261637910002656</t>
  </si>
  <si>
    <t>9780127459509</t>
  </si>
  <si>
    <t>32285000045608</t>
  </si>
  <si>
    <t>893446450</t>
  </si>
  <si>
    <t>RJ506.H9 O44 1984</t>
  </si>
  <si>
    <t>0                      RJ 0506000H  9                  O  44          1984</t>
  </si>
  <si>
    <t>Mommy, I can't sit still! : coping with hyperactive and aggressive children / by K. Daniel O'Leary.</t>
  </si>
  <si>
    <t>O'Leary, K. Daniel, 1940-</t>
  </si>
  <si>
    <t>[New York] : New Horizon Press, c1984.</t>
  </si>
  <si>
    <t>1997-04-10</t>
  </si>
  <si>
    <t>2891040:eng</t>
  </si>
  <si>
    <t>10404131</t>
  </si>
  <si>
    <t>991000367149702656</t>
  </si>
  <si>
    <t>2270010090002656</t>
  </si>
  <si>
    <t>9780882820002</t>
  </si>
  <si>
    <t>32285000110105</t>
  </si>
  <si>
    <t>893896807</t>
  </si>
  <si>
    <t>RJ506.H9 P74</t>
  </si>
  <si>
    <t>0                      RJ 0506000H  9                  P  74</t>
  </si>
  <si>
    <t>Principles and techniques of intervention with hyperactive children / edited by Marvin J. Fine.</t>
  </si>
  <si>
    <t>Springfield, Ill. : Thomas, c1977.</t>
  </si>
  <si>
    <t>1992-12-11</t>
  </si>
  <si>
    <t>7156240:eng</t>
  </si>
  <si>
    <t>3017798</t>
  </si>
  <si>
    <t>991004320919702656</t>
  </si>
  <si>
    <t>2269987240002656</t>
  </si>
  <si>
    <t>9780398035709</t>
  </si>
  <si>
    <t>32285001440550</t>
  </si>
  <si>
    <t>893894850</t>
  </si>
  <si>
    <t>RJ506.H9 R67</t>
  </si>
  <si>
    <t>0                      RJ 0506000H  9                  R  67</t>
  </si>
  <si>
    <t>Hyperactivity : research, theory, and action / Dorothea M. Ross, Sheila XXX A. Ross.</t>
  </si>
  <si>
    <t>Ross, Dorothea M.</t>
  </si>
  <si>
    <t>197763571:eng</t>
  </si>
  <si>
    <t>2074404</t>
  </si>
  <si>
    <t>991004002189702656</t>
  </si>
  <si>
    <t>2263914050002656</t>
  </si>
  <si>
    <t>9780471736783</t>
  </si>
  <si>
    <t>32285000803196</t>
  </si>
  <si>
    <t>893888207</t>
  </si>
  <si>
    <t>RJ506.H9 S24</t>
  </si>
  <si>
    <t>0                      RJ 0506000H  9                  S  24</t>
  </si>
  <si>
    <t>Hyperactive children : diagnosis and management / Daniel J. Safer and Richard P. Allen.</t>
  </si>
  <si>
    <t>Safer, Daniel J.</t>
  </si>
  <si>
    <t>Baltimore : University Park Press, c1976.</t>
  </si>
  <si>
    <t>181558:eng</t>
  </si>
  <si>
    <t>2103163</t>
  </si>
  <si>
    <t>991004014489702656</t>
  </si>
  <si>
    <t>2269987830002656</t>
  </si>
  <si>
    <t>9780839107576</t>
  </si>
  <si>
    <t>32285000821024</t>
  </si>
  <si>
    <t>893806546</t>
  </si>
  <si>
    <t>RJ506.H9 S73</t>
  </si>
  <si>
    <t>0                      RJ 0506000H  9                  S  73</t>
  </si>
  <si>
    <t>Raising a hyperactive child / [by] Mark A. Stewart and Sally Wendkos Olds.</t>
  </si>
  <si>
    <t>Stewart, Mark A.</t>
  </si>
  <si>
    <t>New York : Harper &amp; Row, [1973]</t>
  </si>
  <si>
    <t>1992-04-04</t>
  </si>
  <si>
    <t>402540:eng</t>
  </si>
  <si>
    <t>609280</t>
  </si>
  <si>
    <t>991003049069702656</t>
  </si>
  <si>
    <t>2254798950002656</t>
  </si>
  <si>
    <t>9780060141219</t>
  </si>
  <si>
    <t>32285000803204</t>
  </si>
  <si>
    <t>893592140</t>
  </si>
  <si>
    <t>RJ506.H9 W44 1986</t>
  </si>
  <si>
    <t>0                      RJ 0506000H  9                  W  44          1986</t>
  </si>
  <si>
    <t>Hyperactive children grown up : empirical findings and theoretical considerations / Gabrielle Weiss, Lily Trokenberg Hechtman.</t>
  </si>
  <si>
    <t>Weiss, Gabrielle.</t>
  </si>
  <si>
    <t>1999-03-05</t>
  </si>
  <si>
    <t>201220277:eng</t>
  </si>
  <si>
    <t>13093927</t>
  </si>
  <si>
    <t>991000779229702656</t>
  </si>
  <si>
    <t>2269852930002656</t>
  </si>
  <si>
    <t>9780898626612</t>
  </si>
  <si>
    <t>32285000045616</t>
  </si>
  <si>
    <t>893784523</t>
  </si>
  <si>
    <t>RJ506.H9 W45 1973</t>
  </si>
  <si>
    <t>0                      RJ 0506000H  9                  W  45          1973</t>
  </si>
  <si>
    <t>The hyperactive child : a handbook for parents / by Paul H. Wender.</t>
  </si>
  <si>
    <t>Wender, Paul H., 1934-2016.</t>
  </si>
  <si>
    <t>New York : Crown Publishers, 1973.</t>
  </si>
  <si>
    <t>2001-10-25</t>
  </si>
  <si>
    <t>196536001:eng</t>
  </si>
  <si>
    <t>640499</t>
  </si>
  <si>
    <t>991003090409702656</t>
  </si>
  <si>
    <t>2263359700002656</t>
  </si>
  <si>
    <t>9780517503522</t>
  </si>
  <si>
    <t>32285000802164</t>
  </si>
  <si>
    <t>893686184</t>
  </si>
  <si>
    <t>RJ506.J88 C455 2003</t>
  </si>
  <si>
    <t>0                      RJ 0506000J  88                 C  455         2003</t>
  </si>
  <si>
    <t>Treating chronic juvenile offenders : advances made through the Oregon multidimensional treatment foster care model / Patricia Chamberlain.</t>
  </si>
  <si>
    <t>Chamberlain, Patricia.</t>
  </si>
  <si>
    <t>Washington, DC : American Psychological Association, 2003.</t>
  </si>
  <si>
    <t>Law and public policy</t>
  </si>
  <si>
    <t>2007-02-28</t>
  </si>
  <si>
    <t>2003-04-24</t>
  </si>
  <si>
    <t>837145082:eng</t>
  </si>
  <si>
    <t>51566391</t>
  </si>
  <si>
    <t>991003979899702656</t>
  </si>
  <si>
    <t>2263351710002656</t>
  </si>
  <si>
    <t>9781557989963</t>
  </si>
  <si>
    <t>32285004743844</t>
  </si>
  <si>
    <t>893888182</t>
  </si>
  <si>
    <t>RJ506.J88 G75 2004</t>
  </si>
  <si>
    <t>0                      RJ 0506000J  88                 G  75          2004</t>
  </si>
  <si>
    <t>Double jeopardy : adolescent offenders with mental disorders / Thomas Grisso ; foreword by Franklin E. Zimring.</t>
  </si>
  <si>
    <t>Grisso, Thomas.</t>
  </si>
  <si>
    <t>Chicago : University of Chicago Press, 2004.</t>
  </si>
  <si>
    <t>2004</t>
  </si>
  <si>
    <t>Adolescent development and legal policy</t>
  </si>
  <si>
    <t>2005-03-17</t>
  </si>
  <si>
    <t>796411960:eng</t>
  </si>
  <si>
    <t>53138925</t>
  </si>
  <si>
    <t>991004462769702656</t>
  </si>
  <si>
    <t>2266257840002656</t>
  </si>
  <si>
    <t>9780226309149</t>
  </si>
  <si>
    <t>32285005042766</t>
  </si>
  <si>
    <t>893612382</t>
  </si>
  <si>
    <t>RJ506.J88 P76</t>
  </si>
  <si>
    <t>0                      RJ 0506000J  88                 P  76</t>
  </si>
  <si>
    <t>Progress in behavior therapy with delinquents / compiled and edited by Jerome S. Stumphauzer.</t>
  </si>
  <si>
    <t>1997-03-19</t>
  </si>
  <si>
    <t>471878:eng</t>
  </si>
  <si>
    <t>3730873</t>
  </si>
  <si>
    <t>991004505069702656</t>
  </si>
  <si>
    <t>2270842610002656</t>
  </si>
  <si>
    <t>9780398037338</t>
  </si>
  <si>
    <t>32285001529659</t>
  </si>
  <si>
    <t>893325454</t>
  </si>
  <si>
    <t>RJ506.J88 R69 1994</t>
  </si>
  <si>
    <t>0                      RJ 0506000J  88                 R  69          1994</t>
  </si>
  <si>
    <t>Youth crime/violence and the cause / [Marcella Royal].</t>
  </si>
  <si>
    <t>Royal, Marcella.</t>
  </si>
  <si>
    <t>Monroe, WA : Barrons, 1994.</t>
  </si>
  <si>
    <t>wau</t>
  </si>
  <si>
    <t>2000-11-13</t>
  </si>
  <si>
    <t>1995-03-22</t>
  </si>
  <si>
    <t>46082725:eng</t>
  </si>
  <si>
    <t>31795834</t>
  </si>
  <si>
    <t>991002439769702656</t>
  </si>
  <si>
    <t>2260447150002656</t>
  </si>
  <si>
    <t>9780964211100</t>
  </si>
  <si>
    <t>32285002004215</t>
  </si>
  <si>
    <t>893685362</t>
  </si>
  <si>
    <t>RJ506.J88 V84</t>
  </si>
  <si>
    <t>0                      RJ 0506000J  88                 V  84</t>
  </si>
  <si>
    <t>Vulnerabilities to delinquency / edited by Dorothy Otnow Lewis.</t>
  </si>
  <si>
    <t>New York : SP Medical &amp; Scientific Books, c1981.</t>
  </si>
  <si>
    <t>1993-08-02</t>
  </si>
  <si>
    <t>1991-11-12</t>
  </si>
  <si>
    <t>54405236:eng</t>
  </si>
  <si>
    <t>6735771</t>
  </si>
  <si>
    <t>991005033819702656</t>
  </si>
  <si>
    <t>2268079900002656</t>
  </si>
  <si>
    <t>9780893351366</t>
  </si>
  <si>
    <t>32285000821487</t>
  </si>
  <si>
    <t>893344543</t>
  </si>
  <si>
    <t>RJ506.J88 W56 1984</t>
  </si>
  <si>
    <t>0                      RJ 0506000J  88                 W  56          1984</t>
  </si>
  <si>
    <t>Deprivation and delinquency / D.W. Winnicott ; edited by Clare Winnicott, Ray Shepherd, and Madeleine Davis.</t>
  </si>
  <si>
    <t>London ; New York : Tavistock Publications ; New York : Tavistock Publications in association with Methuen, 1984.</t>
  </si>
  <si>
    <t>1995-04-07</t>
  </si>
  <si>
    <t>1992-12-03</t>
  </si>
  <si>
    <t>3467580:eng</t>
  </si>
  <si>
    <t>10996865</t>
  </si>
  <si>
    <t>991000470809702656</t>
  </si>
  <si>
    <t>2262009150002656</t>
  </si>
  <si>
    <t>9780422791809</t>
  </si>
  <si>
    <t>32285001411924</t>
  </si>
  <si>
    <t>893333500</t>
  </si>
  <si>
    <t>RJ506.L4 F37</t>
  </si>
  <si>
    <t>0                      RJ 0506000L  4                  F  37</t>
  </si>
  <si>
    <t>Learning disabilities : a psychological perspective / Sylvia Farnham-Diggory.</t>
  </si>
  <si>
    <t>Farnham-Diggory, Sylvia.</t>
  </si>
  <si>
    <t>The Developing child</t>
  </si>
  <si>
    <t>1991-12-10</t>
  </si>
  <si>
    <t>15254099:eng</t>
  </si>
  <si>
    <t>3844716</t>
  </si>
  <si>
    <t>991004529649702656</t>
  </si>
  <si>
    <t>2264805870002656</t>
  </si>
  <si>
    <t>9780674519213</t>
  </si>
  <si>
    <t>32285000839265</t>
  </si>
  <si>
    <t>893350123</t>
  </si>
  <si>
    <t>RJ506.L4 G35 1988</t>
  </si>
  <si>
    <t>0                      RJ 0506000L  4                  G  35          1988</t>
  </si>
  <si>
    <t>Emotional and behavioral problems in children with learning disabilities / Robin P. Gallico, Thomas J. Burns, Charles S. Grob.</t>
  </si>
  <si>
    <t>Gallico, Robin P., 1948-</t>
  </si>
  <si>
    <t>Boston : Little, Brown, 1988.</t>
  </si>
  <si>
    <t>1997-10-22</t>
  </si>
  <si>
    <t>13270690:eng</t>
  </si>
  <si>
    <t>16709515</t>
  </si>
  <si>
    <t>991001135369702656</t>
  </si>
  <si>
    <t>2259660750002656</t>
  </si>
  <si>
    <t>9780316302869</t>
  </si>
  <si>
    <t>32285000045624</t>
  </si>
  <si>
    <t>893420098</t>
  </si>
  <si>
    <t>RJ506.L4 I57 1978</t>
  </si>
  <si>
    <t>0                      RJ 0506000L  4                  I  57          1978</t>
  </si>
  <si>
    <t>Treatment of hyperactive and learning disordered children : current research : [proceedings] / edited by Robert M. Knights and Dirk J. Bakker.</t>
  </si>
  <si>
    <t>International Conference on the Treatment of Hyperactive and Learning Disordered Children (1978 : Mont Ste. Marie)</t>
  </si>
  <si>
    <t>Baltimore : University Park Press, 1980.</t>
  </si>
  <si>
    <t>889875833:eng</t>
  </si>
  <si>
    <t>5264217</t>
  </si>
  <si>
    <t>991004807979702656</t>
  </si>
  <si>
    <t>2258646940002656</t>
  </si>
  <si>
    <t>32285001095313</t>
  </si>
  <si>
    <t>893436778</t>
  </si>
  <si>
    <t>RJ506.L4 L434</t>
  </si>
  <si>
    <t>0                      RJ 0506000L  4                  L  434</t>
  </si>
  <si>
    <t>The Learning-disabled child / edited by Marvin I. Gottlieb, Peter W. Zinkus, Larry J. Bradford.</t>
  </si>
  <si>
    <t>New York : Grune &amp; Stratton, c1979.</t>
  </si>
  <si>
    <t>Current issues in developmental pediatrics</t>
  </si>
  <si>
    <t>1996-10-28</t>
  </si>
  <si>
    <t>181306389:eng</t>
  </si>
  <si>
    <t>5932371</t>
  </si>
  <si>
    <t>991004900539702656</t>
  </si>
  <si>
    <t>2261215830002656</t>
  </si>
  <si>
    <t>9780808911791</t>
  </si>
  <si>
    <t>32285000045632</t>
  </si>
  <si>
    <t>893801469</t>
  </si>
  <si>
    <t>RJ506.L4 Q57 1979</t>
  </si>
  <si>
    <t>0                      RJ 0506000L  4                  Q  57          1979</t>
  </si>
  <si>
    <t>Neuropsychological fundamentals in learning disabilities / Julio B. de Quiros, Orlando L. Schrager.</t>
  </si>
  <si>
    <t>Quirós, Julio B. de (Julio Bernaldo)</t>
  </si>
  <si>
    <t>Novato, Calif. : Academic Therapy Publications, c1979.</t>
  </si>
  <si>
    <t>4494913311:eng</t>
  </si>
  <si>
    <t>5751177</t>
  </si>
  <si>
    <t>991004870309702656</t>
  </si>
  <si>
    <t>2270287610002656</t>
  </si>
  <si>
    <t>9780878792405</t>
  </si>
  <si>
    <t>32285001529675</t>
  </si>
  <si>
    <t>893801442</t>
  </si>
  <si>
    <t>RJ506.L4 S26 1985</t>
  </si>
  <si>
    <t>0                      RJ 0506000L  4                  S  26          1985</t>
  </si>
  <si>
    <t>Cognitive control therapy with children and adolescents / Sebastiano Santostefano.</t>
  </si>
  <si>
    <t>New York : Pergamon Press, c1985.</t>
  </si>
  <si>
    <t>2005-03-20</t>
  </si>
  <si>
    <t>4749765:eng</t>
  </si>
  <si>
    <t>11599251</t>
  </si>
  <si>
    <t>991000562439702656</t>
  </si>
  <si>
    <t>2261549880002656</t>
  </si>
  <si>
    <t>9780080315805</t>
  </si>
  <si>
    <t>32285001529683</t>
  </si>
  <si>
    <t>893865485</t>
  </si>
  <si>
    <t>RJ506.M4 B42</t>
  </si>
  <si>
    <t>0                      RJ 0506000M  4                  B  42</t>
  </si>
  <si>
    <t>Behaviour modification for the mentally handicapped / edited by William Yule and Janet Carr.</t>
  </si>
  <si>
    <t>Baltimore : University Park Press, c1980.</t>
  </si>
  <si>
    <t>1995-10-28</t>
  </si>
  <si>
    <t>355905791:eng</t>
  </si>
  <si>
    <t>6339144</t>
  </si>
  <si>
    <t>991004966709702656</t>
  </si>
  <si>
    <t>2268505820002656</t>
  </si>
  <si>
    <t>9780839141037</t>
  </si>
  <si>
    <t>32285001529717</t>
  </si>
  <si>
    <t>893776638</t>
  </si>
  <si>
    <t>RJ506.M4 C63</t>
  </si>
  <si>
    <t>0                      RJ 0506000M  4                  C  63</t>
  </si>
  <si>
    <t>Occupational therapy for mentally retarded children : guidelines for occupational therapy aides and certified occupational therapy assistants / Mildred Copeland, Lana Ford, Nancy Solon.</t>
  </si>
  <si>
    <t>Copeland, Mildred E.</t>
  </si>
  <si>
    <t>2001-01-23</t>
  </si>
  <si>
    <t>366629644:eng</t>
  </si>
  <si>
    <t>2089720</t>
  </si>
  <si>
    <t>991001785239702656</t>
  </si>
  <si>
    <t>2263285040002656</t>
  </si>
  <si>
    <t>9780839109303</t>
  </si>
  <si>
    <t>32285000979566</t>
  </si>
  <si>
    <t>893621621</t>
  </si>
  <si>
    <t>RJ506.M4 L64</t>
  </si>
  <si>
    <t>0                      RJ 0506000M  4                  L  64</t>
  </si>
  <si>
    <t>The mentally retarded child and his family / by Harold D. Love.</t>
  </si>
  <si>
    <t>Love, Harold D.</t>
  </si>
  <si>
    <t>Springfield, Ill. : Thomas, [1973]</t>
  </si>
  <si>
    <t>2009-11-10</t>
  </si>
  <si>
    <t>1753521:eng</t>
  </si>
  <si>
    <t>730588</t>
  </si>
  <si>
    <t>991003205479702656</t>
  </si>
  <si>
    <t>2267036260002656</t>
  </si>
  <si>
    <t>9780398027285</t>
  </si>
  <si>
    <t>32285000760305</t>
  </si>
  <si>
    <t>893511676</t>
  </si>
  <si>
    <t>RJ506.M4 M32 1986</t>
  </si>
  <si>
    <t>0                      RJ 0506000M  4                  M  32          1986</t>
  </si>
  <si>
    <t>Psychopathology among mentally retarded children and adolescents / Johnny L. Matson, Cynthia L. Frame.</t>
  </si>
  <si>
    <t>Matson, Johnny L.</t>
  </si>
  <si>
    <t>Developmental clinical psychology and psychiatry ; v. 6</t>
  </si>
  <si>
    <t>1994-04-09</t>
  </si>
  <si>
    <t>4906760:eng</t>
  </si>
  <si>
    <t>12262221</t>
  </si>
  <si>
    <t>991000663079702656</t>
  </si>
  <si>
    <t>2270653430002656</t>
  </si>
  <si>
    <t>9780803925342</t>
  </si>
  <si>
    <t>32285001529741</t>
  </si>
  <si>
    <t>893321237</t>
  </si>
  <si>
    <t>RJ506.M4 M66</t>
  </si>
  <si>
    <t>0                      RJ 0506000M  4                  M  66</t>
  </si>
  <si>
    <t>Teaching the severely mentally retarded : adaptive skills training / Allen A. Mori and Lowell F. Masters.</t>
  </si>
  <si>
    <t>Mori, Allen A.</t>
  </si>
  <si>
    <t>Germantown, Md. : Aspen Systems Corp., 1980.</t>
  </si>
  <si>
    <t>1995-07-07</t>
  </si>
  <si>
    <t>426618342:eng</t>
  </si>
  <si>
    <t>5894042</t>
  </si>
  <si>
    <t>991004896189702656</t>
  </si>
  <si>
    <t>2264357210002656</t>
  </si>
  <si>
    <t>9780894431739</t>
  </si>
  <si>
    <t>32285001529758</t>
  </si>
  <si>
    <t>893350474</t>
  </si>
  <si>
    <t>RJ506.M4 M87</t>
  </si>
  <si>
    <t>0                      RJ 0506000M  4                  M  87</t>
  </si>
  <si>
    <t>And say what he is : the life of a special child / J. B. Murray and Emily Murray.</t>
  </si>
  <si>
    <t>Murray, John B.</t>
  </si>
  <si>
    <t>Cambridge, Mass. : MIT Press, [1975]</t>
  </si>
  <si>
    <t>1993-11-06</t>
  </si>
  <si>
    <t>5215334678:eng</t>
  </si>
  <si>
    <t>1230700</t>
  </si>
  <si>
    <t>991003636759702656</t>
  </si>
  <si>
    <t>2261732220002656</t>
  </si>
  <si>
    <t>9780262131155</t>
  </si>
  <si>
    <t>32285001471167</t>
  </si>
  <si>
    <t>893531401</t>
  </si>
  <si>
    <t>RJ506.M4 T4</t>
  </si>
  <si>
    <t>0                      RJ 0506000M  4                  T  4</t>
  </si>
  <si>
    <t>The Teaching Research motor-development scale for moderately and severely retarded children, by H. D. Bud Fredericks [and others] Illustrated by Wendy Fredericks. Photos. by Teaching Research photographic staff, Teaching Research Division, Oregon State System of Higher Education.</t>
  </si>
  <si>
    <t>Springfield, Ill., Thomas [1972]</t>
  </si>
  <si>
    <t>2009-02-17</t>
  </si>
  <si>
    <t>53965165:eng</t>
  </si>
  <si>
    <t>394175</t>
  </si>
  <si>
    <t>991002667989702656</t>
  </si>
  <si>
    <t>2260087600002656</t>
  </si>
  <si>
    <t>9780398022846</t>
  </si>
  <si>
    <t>32285003094298</t>
  </si>
  <si>
    <t>893245475</t>
  </si>
  <si>
    <t>RJ506.M84 C481 1986</t>
  </si>
  <si>
    <t>0                      RJ 0506000M  84                 C  481         1986</t>
  </si>
  <si>
    <t>Treatment of multiple personality disorder / edited by Bennett G. Braun.</t>
  </si>
  <si>
    <t>Washington, D.C. : American Psychiatric Press, c1986.</t>
  </si>
  <si>
    <t>2007-02-19</t>
  </si>
  <si>
    <t>54820305:eng</t>
  </si>
  <si>
    <t>13582000</t>
  </si>
  <si>
    <t>991000850439702656</t>
  </si>
  <si>
    <t>2257420420002656</t>
  </si>
  <si>
    <t>9780880480963</t>
  </si>
  <si>
    <t>32285000996966</t>
  </si>
  <si>
    <t>893608334</t>
  </si>
  <si>
    <t>RJ506.O25 F73 1996</t>
  </si>
  <si>
    <t>0                      RJ 0506000O  25                 F  73          1996</t>
  </si>
  <si>
    <t>Childhood obsessive compulsive disorder / Greta Francis, Rod A. Gragg.</t>
  </si>
  <si>
    <t>Francis, Greta.</t>
  </si>
  <si>
    <t>Thousand Oaks, Calif. : Sage Publications, c1996.</t>
  </si>
  <si>
    <t>Developmental clinical psychology and psychiatry series ; v. 35</t>
  </si>
  <si>
    <t>2008-02-07</t>
  </si>
  <si>
    <t>1996-12-06</t>
  </si>
  <si>
    <t>2453173586:eng</t>
  </si>
  <si>
    <t>32166730</t>
  </si>
  <si>
    <t>991002643089702656</t>
  </si>
  <si>
    <t>2268464160002656</t>
  </si>
  <si>
    <t>9780803959217</t>
  </si>
  <si>
    <t>32285002388675</t>
  </si>
  <si>
    <t>893880199</t>
  </si>
  <si>
    <t>RJ506.O25 O27 1989</t>
  </si>
  <si>
    <t>0                      RJ 0506000O  25                 O  27          1989</t>
  </si>
  <si>
    <t>Obsessive-compulsive disorder in children and adolescents / edited by Judith L. Rapoport.</t>
  </si>
  <si>
    <t>Washington, DC : American Psychiatric Press, c1989.</t>
  </si>
  <si>
    <t>2008-01-23</t>
  </si>
  <si>
    <t>17744909:eng</t>
  </si>
  <si>
    <t>18379521</t>
  </si>
  <si>
    <t>991001339009702656</t>
  </si>
  <si>
    <t>2269705520002656</t>
  </si>
  <si>
    <t>9780880482820</t>
  </si>
  <si>
    <t>32285001033165</t>
  </si>
  <si>
    <t>893797499</t>
  </si>
  <si>
    <t>RJ506.P38 K56 1988</t>
  </si>
  <si>
    <t>0                      RJ 0506000P  38                 K  56          1988</t>
  </si>
  <si>
    <t>Children's phobias : a behavioural perspective / Neville J. King, David I. Hamilton and Thomas H. Ollendick.</t>
  </si>
  <si>
    <t>King, Neville J.</t>
  </si>
  <si>
    <t>Chichester ; New York : Wiley, c1988.</t>
  </si>
  <si>
    <t>2004-10-10</t>
  </si>
  <si>
    <t>1990-07-05</t>
  </si>
  <si>
    <t>12230546:eng</t>
  </si>
  <si>
    <t>16225611</t>
  </si>
  <si>
    <t>991001092249702656</t>
  </si>
  <si>
    <t>2264406310002656</t>
  </si>
  <si>
    <t>9780471102762</t>
  </si>
  <si>
    <t>32285000207463</t>
  </si>
  <si>
    <t>893334037</t>
  </si>
  <si>
    <t>RJ506.P38 M67 1983</t>
  </si>
  <si>
    <t>0                      RJ 0506000P  38                 M  67          1983</t>
  </si>
  <si>
    <t>Treating children's fears and phobias : a behavioral approach / Richard J. Morris, Thomas R. Kratochwill.</t>
  </si>
  <si>
    <t>Morris, Richard J.</t>
  </si>
  <si>
    <t>Pergamon general psychology series ; 114</t>
  </si>
  <si>
    <t>197199277:eng</t>
  </si>
  <si>
    <t>8494736</t>
  </si>
  <si>
    <t>991005251949702656</t>
  </si>
  <si>
    <t>2260106940002656</t>
  </si>
  <si>
    <t>9780080259987</t>
  </si>
  <si>
    <t>32285001529766</t>
  </si>
  <si>
    <t>893802003</t>
  </si>
  <si>
    <t>RJ506.P55 B75 1996</t>
  </si>
  <si>
    <t>0                      RJ 0506000P  55                 B  75          1996</t>
  </si>
  <si>
    <t>Working with traumatized children : a handbook for healing / Kathryn Brohl.</t>
  </si>
  <si>
    <t>Brohl, Kathryn.</t>
  </si>
  <si>
    <t>Washington, DC : CWLA Press, c1996.</t>
  </si>
  <si>
    <t>2007-08-21</t>
  </si>
  <si>
    <t>474799929:eng</t>
  </si>
  <si>
    <t>34951547</t>
  </si>
  <si>
    <t>991002672729702656</t>
  </si>
  <si>
    <t>2262197100002656</t>
  </si>
  <si>
    <t>9780878686339</t>
  </si>
  <si>
    <t>32285001419380</t>
  </si>
  <si>
    <t>893873837</t>
  </si>
  <si>
    <t>RJ506.P63 A57 1998</t>
  </si>
  <si>
    <t>0                      RJ 0506000P  63                 A  57          1998</t>
  </si>
  <si>
    <t>Antisocial behavior and mental health problems : explanatory factors in childhood and adolescence / Rolf Loeber ... [et al.].</t>
  </si>
  <si>
    <t>Mahwah, N.J. : L. Erlbaum Associates, 1998.</t>
  </si>
  <si>
    <t>1998-11-24</t>
  </si>
  <si>
    <t>1998-09-15</t>
  </si>
  <si>
    <t>799758748:eng</t>
  </si>
  <si>
    <t>37608250</t>
  </si>
  <si>
    <t>991002854349702656</t>
  </si>
  <si>
    <t>2264306490002656</t>
  </si>
  <si>
    <t>9780805829563</t>
  </si>
  <si>
    <t>32285003468104</t>
  </si>
  <si>
    <t>893409631</t>
  </si>
  <si>
    <t>RJ506.P63 H47</t>
  </si>
  <si>
    <t>0                      RJ 0506000P  63                 H  47</t>
  </si>
  <si>
    <t>Conduct disorders of childhood and adolescence : a behavioural approach to assessment and treatment / Martin Herbert.</t>
  </si>
  <si>
    <t>Herbert, Martin.</t>
  </si>
  <si>
    <t>Chichester ; New York : Wiley, c1978.</t>
  </si>
  <si>
    <t>1992-02-06</t>
  </si>
  <si>
    <t>7700126:eng</t>
  </si>
  <si>
    <t>3034244</t>
  </si>
  <si>
    <t>991004325089702656</t>
  </si>
  <si>
    <t>2261333470002656</t>
  </si>
  <si>
    <t>9780471995098</t>
  </si>
  <si>
    <t>32285000934652</t>
  </si>
  <si>
    <t>893259598</t>
  </si>
  <si>
    <t>RJ506.P63 H47 1987</t>
  </si>
  <si>
    <t>0                      RJ 0506000P  63                 H  47          1987</t>
  </si>
  <si>
    <t>Conduct disorders of childhood and adolescence : a social learning perspective / Martin Herbert.</t>
  </si>
  <si>
    <t>1999-02-16</t>
  </si>
  <si>
    <t>4494877350:eng</t>
  </si>
  <si>
    <t>14002268</t>
  </si>
  <si>
    <t>991000897899702656</t>
  </si>
  <si>
    <t>2257089770002656</t>
  </si>
  <si>
    <t>9780471912316</t>
  </si>
  <si>
    <t>32285000934645</t>
  </si>
  <si>
    <t>893255838</t>
  </si>
  <si>
    <t>RJ506.P63 R67 1998</t>
  </si>
  <si>
    <t>0                      RJ 0506000P  63                 R  67          1998</t>
  </si>
  <si>
    <t>Group therapy with troubled youth : a cognitive-behavioral interactive approach / by Sheldon D. Rose.</t>
  </si>
  <si>
    <t>Rose, Sheldon D.</t>
  </si>
  <si>
    <t>Thousand Oaks : Sage Publications, c1998.</t>
  </si>
  <si>
    <t>2003-03-22</t>
  </si>
  <si>
    <t>2000-12-20</t>
  </si>
  <si>
    <t>590617:eng</t>
  </si>
  <si>
    <t>37527587</t>
  </si>
  <si>
    <t>991003329899702656</t>
  </si>
  <si>
    <t>2265126940002656</t>
  </si>
  <si>
    <t>9780761909279</t>
  </si>
  <si>
    <t>32285004278080</t>
  </si>
  <si>
    <t>893441180</t>
  </si>
  <si>
    <t>RJ506.P63 S45 1998</t>
  </si>
  <si>
    <t>0                      RJ 0506000P  63                 S  45          1998</t>
  </si>
  <si>
    <t>Treating the tough adolescent : a family-based, step-by-step guide / Scott P. Sells ; forewords by Jay Haley and Neil Schiff.</t>
  </si>
  <si>
    <t>Sells, Scott P.</t>
  </si>
  <si>
    <t>New York : Guilford Press, c1998.</t>
  </si>
  <si>
    <t>2008-07-22</t>
  </si>
  <si>
    <t>905865083:eng</t>
  </si>
  <si>
    <t>39695720</t>
  </si>
  <si>
    <t>991002966449702656</t>
  </si>
  <si>
    <t>2264729810002656</t>
  </si>
  <si>
    <t>9781572304222</t>
  </si>
  <si>
    <t>32285003619763</t>
  </si>
  <si>
    <t>893428284</t>
  </si>
  <si>
    <t>RJ506.P63 S66 1997</t>
  </si>
  <si>
    <t>0                      RJ 0506000P  63                 S  66          1997</t>
  </si>
  <si>
    <t>Tough kids, cool counseling : user-friendly approaches with challenging youths / John Sommers-Flanagan, Rita Sommers-Flanagan.</t>
  </si>
  <si>
    <t>Sommers-Flanagan, John, 1957-</t>
  </si>
  <si>
    <t>Alexandria, Va. : American Counseling Assoc., 1997.</t>
  </si>
  <si>
    <t>2000-07-03</t>
  </si>
  <si>
    <t>1997-05-06</t>
  </si>
  <si>
    <t>436106519:eng</t>
  </si>
  <si>
    <t>36283966</t>
  </si>
  <si>
    <t>991002764949702656</t>
  </si>
  <si>
    <t>2272539160002656</t>
  </si>
  <si>
    <t>9781556201721</t>
  </si>
  <si>
    <t>32285002544699</t>
  </si>
  <si>
    <t>893421775</t>
  </si>
  <si>
    <t>RJ506.P66 C47 1998</t>
  </si>
  <si>
    <t>0                      RJ 0506000P  66                 C  47          1998</t>
  </si>
  <si>
    <t>Children of trauma : stressful life events and their effects on children and adolescents / edited by Thomas W. Miller.</t>
  </si>
  <si>
    <t>Madison, Conn. : International Universities Press, c1998.</t>
  </si>
  <si>
    <t>International Universities Press stress and health series ; monograph 8</t>
  </si>
  <si>
    <t>923688116:eng</t>
  </si>
  <si>
    <t>36884826</t>
  </si>
  <si>
    <t>991002807759702656</t>
  </si>
  <si>
    <t>2269111880002656</t>
  </si>
  <si>
    <t>9780823608102</t>
  </si>
  <si>
    <t>32285003506929</t>
  </si>
  <si>
    <t>893233443</t>
  </si>
  <si>
    <t>RJ506.P68 M68</t>
  </si>
  <si>
    <t>0                      RJ 0506000P  68                 M  68</t>
  </si>
  <si>
    <t>Sensory-motor dysfunction and therapy in infancy and early childhood / by Delmont Morrison, Patricia Pothier, Katy Horr.</t>
  </si>
  <si>
    <t>Morrison, Delmont C., 1932-</t>
  </si>
  <si>
    <t>Springfield, Ill. : Thomas, c1978.</t>
  </si>
  <si>
    <t>1999-01-24</t>
  </si>
  <si>
    <t>471900:eng</t>
  </si>
  <si>
    <t>3516357</t>
  </si>
  <si>
    <t>991005265329702656</t>
  </si>
  <si>
    <t>2272415420002656</t>
  </si>
  <si>
    <t>9780398037666</t>
  </si>
  <si>
    <t>32285001529782</t>
  </si>
  <si>
    <t>893260827</t>
  </si>
  <si>
    <t>RJ506.P72 H36 1995</t>
  </si>
  <si>
    <t>0                      RJ 0506000P  72                 H  36          1995</t>
  </si>
  <si>
    <t>Handbook of child and adolescent sexual problems / edited by George A. Rekers.</t>
  </si>
  <si>
    <t>New York : Lexington Books, c1995.</t>
  </si>
  <si>
    <t>Series in scientific foundations of clinical and counseling psychology</t>
  </si>
  <si>
    <t>2010-07-20</t>
  </si>
  <si>
    <t>1995-11-02</t>
  </si>
  <si>
    <t>33040477:eng</t>
  </si>
  <si>
    <t>31410767</t>
  </si>
  <si>
    <t>991002413139702656</t>
  </si>
  <si>
    <t>2263246170002656</t>
  </si>
  <si>
    <t>9780029263174</t>
  </si>
  <si>
    <t>32285005591119</t>
  </si>
  <si>
    <t>893716426</t>
  </si>
  <si>
    <t>RJ506.P72 S49 1997</t>
  </si>
  <si>
    <t>0                      RJ 0506000P  72                 S  49          1997</t>
  </si>
  <si>
    <t>Sexually aggressive children : coming to understand them / [edited by] Sharon K. Araji ; foreword by William N. Friedrich.</t>
  </si>
  <si>
    <t>1997-08-22</t>
  </si>
  <si>
    <t>796444347:eng</t>
  </si>
  <si>
    <t>36755720</t>
  </si>
  <si>
    <t>991002797929702656</t>
  </si>
  <si>
    <t>2265816510002656</t>
  </si>
  <si>
    <t>9780803951754</t>
  </si>
  <si>
    <t>32285003001756</t>
  </si>
  <si>
    <t>893498547</t>
  </si>
  <si>
    <t>RJ506.R57 B45 1993</t>
  </si>
  <si>
    <t>0                      RJ 0506000R  57                 B  45          1993</t>
  </si>
  <si>
    <t>Adolescent risk taking / edited by Nancy J. Bell, Robert W. Bell.</t>
  </si>
  <si>
    <t>Newbury Park, Calif. : Sage Publications, c1993.</t>
  </si>
  <si>
    <t>2001-05-30</t>
  </si>
  <si>
    <t>1994-12-06</t>
  </si>
  <si>
    <t>55644228:eng</t>
  </si>
  <si>
    <t>26853262</t>
  </si>
  <si>
    <t>991002093209702656</t>
  </si>
  <si>
    <t>2264456450002656</t>
  </si>
  <si>
    <t>9780803950641</t>
  </si>
  <si>
    <t>32285001975936</t>
  </si>
  <si>
    <t>893716038</t>
  </si>
  <si>
    <t>RJ506.S3 G58</t>
  </si>
  <si>
    <t>0                      RJ 0506000S  3                  G  58</t>
  </si>
  <si>
    <t>Growth and change of schizophrenic children : a longitudinal study.</t>
  </si>
  <si>
    <t>Goldfarb, William, 1915-</t>
  </si>
  <si>
    <t>Washington : Winston ; [distributed by Halsted Press, New York], 1974.</t>
  </si>
  <si>
    <t>2002-09-23</t>
  </si>
  <si>
    <t>836685122:eng</t>
  </si>
  <si>
    <t>995055</t>
  </si>
  <si>
    <t>991003455589702656</t>
  </si>
  <si>
    <t>2257108580002656</t>
  </si>
  <si>
    <t>9780470311028</t>
  </si>
  <si>
    <t>32285000847086</t>
  </si>
  <si>
    <t>893692727</t>
  </si>
  <si>
    <t>RJ506.S31 M5</t>
  </si>
  <si>
    <t>0                      RJ 0506000S  31                 M  5</t>
  </si>
  <si>
    <t>Interaction in families : an experimental study of family processes and schizophrenia / [by] Elliot G. Mishler and Nancy E. Waxler.</t>
  </si>
  <si>
    <t>Mishler, Elliot George, 1924-</t>
  </si>
  <si>
    <t>New York : Wiley, [1968]</t>
  </si>
  <si>
    <t>Wiley series in psychology for practicing clinicians</t>
  </si>
  <si>
    <t>1997-09-08</t>
  </si>
  <si>
    <t>1411584:eng</t>
  </si>
  <si>
    <t>275878</t>
  </si>
  <si>
    <t>991002167719702656</t>
  </si>
  <si>
    <t>2263434070002656</t>
  </si>
  <si>
    <t>9780471609407</t>
  </si>
  <si>
    <t>32285000847094</t>
  </si>
  <si>
    <t>893691283</t>
  </si>
  <si>
    <t>RJ506.S39 S44 1981</t>
  </si>
  <si>
    <t>0                      RJ 0506000S  39                 S  44          1981</t>
  </si>
  <si>
    <t>Self-destructive behavior in children and adolescents / edited by Carl F. Wells, Irving R. Stuart.</t>
  </si>
  <si>
    <t>New York : Van Nostrand Reinhold, c1981.</t>
  </si>
  <si>
    <t>1999-10-24</t>
  </si>
  <si>
    <t>354416679:eng</t>
  </si>
  <si>
    <t>6864156</t>
  </si>
  <si>
    <t>991005050199702656</t>
  </si>
  <si>
    <t>2269596860002656</t>
  </si>
  <si>
    <t>9780442247416</t>
  </si>
  <si>
    <t>32285000843374</t>
  </si>
  <si>
    <t>893332325</t>
  </si>
  <si>
    <t>RJ506.S44 P43 2007</t>
  </si>
  <si>
    <t>0                      RJ 0506000S  44                 P  43          2007</t>
  </si>
  <si>
    <t>Bleeding to ease the pain : cutting, self-injury, and the adolescent search for self / Lori G. Plante ; foreword by Chris Hayward.</t>
  </si>
  <si>
    <t>Plante, Lori G.</t>
  </si>
  <si>
    <t>Westport, Conn. : Praeger, 2007.</t>
  </si>
  <si>
    <t>Abnormal psychology, 1554-2238</t>
  </si>
  <si>
    <t>2008-12-01</t>
  </si>
  <si>
    <t>313416602:eng</t>
  </si>
  <si>
    <t>76901776</t>
  </si>
  <si>
    <t>991005273609702656</t>
  </si>
  <si>
    <t>2264861430002656</t>
  </si>
  <si>
    <t>9780275990626</t>
  </si>
  <si>
    <t>32285005469589</t>
  </si>
  <si>
    <t>893783331</t>
  </si>
  <si>
    <t>RJ506.S48 J88 2006</t>
  </si>
  <si>
    <t>0                      RJ 0506000S  48                 J  88          2006</t>
  </si>
  <si>
    <t>The juvenile sex offender / edited by Howard E. Barbaree, William L. Marshall.</t>
  </si>
  <si>
    <t>New York : Guilford Press, c2006.</t>
  </si>
  <si>
    <t>2006-03-15</t>
  </si>
  <si>
    <t>2006-03-06</t>
  </si>
  <si>
    <t>766176256:eng</t>
  </si>
  <si>
    <t>60651096</t>
  </si>
  <si>
    <t>991004759669702656</t>
  </si>
  <si>
    <t>2261736780002656</t>
  </si>
  <si>
    <t>9781593851989</t>
  </si>
  <si>
    <t>32285005166078</t>
  </si>
  <si>
    <t>893612746</t>
  </si>
  <si>
    <t>RJ506.S9 G65 2003</t>
  </si>
  <si>
    <t>0                      RJ 0506000S  9                  G  65          2003</t>
  </si>
  <si>
    <t>Measuring suicidal behavior and risk in children and adolescents / David B. Goldston.</t>
  </si>
  <si>
    <t>Goldston, David B.</t>
  </si>
  <si>
    <t>Washington, DC : American Psychological Association, c2003.</t>
  </si>
  <si>
    <t>Measurement and instrumentation in psychology</t>
  </si>
  <si>
    <t>2008-06-22</t>
  </si>
  <si>
    <t>2004-02-11</t>
  </si>
  <si>
    <t>808573:eng</t>
  </si>
  <si>
    <t>51818817</t>
  </si>
  <si>
    <t>991003979979702656</t>
  </si>
  <si>
    <t>2257599480002656</t>
  </si>
  <si>
    <t>9781591470083</t>
  </si>
  <si>
    <t>32285004638085</t>
  </si>
  <si>
    <t>893794343</t>
  </si>
  <si>
    <t>RJ506.S9 H34 1986a</t>
  </si>
  <si>
    <t>0                      RJ 0506000S  9                  H  34          1986a</t>
  </si>
  <si>
    <t>Youth suicide : depression and loneliness / Brent Q. Hafen and Kathryn J. Frandsen.</t>
  </si>
  <si>
    <t>Hafen, Brent Q.</t>
  </si>
  <si>
    <t>Evergreen, CO : Cordillera Press, c1986.</t>
  </si>
  <si>
    <t>2006-11-15</t>
  </si>
  <si>
    <t>1990-03-05</t>
  </si>
  <si>
    <t>6948588:eng</t>
  </si>
  <si>
    <t>14069762</t>
  </si>
  <si>
    <t>991000903809702656</t>
  </si>
  <si>
    <t>2259167980002656</t>
  </si>
  <si>
    <t>9780917895111</t>
  </si>
  <si>
    <t>32285000042688</t>
  </si>
  <si>
    <t>893596013</t>
  </si>
  <si>
    <t>RJ506.S9 J63 1986</t>
  </si>
  <si>
    <t>0                      RJ 0506000S  9                  J  63          1986</t>
  </si>
  <si>
    <t>Preventing teenage suicide : the living alternative handbook / Polly Joan.</t>
  </si>
  <si>
    <t>Joan, Polly.</t>
  </si>
  <si>
    <t>New York, N.Y. : Human Sciences Press, 1986.</t>
  </si>
  <si>
    <t>1990-03-13</t>
  </si>
  <si>
    <t>4166539:eng</t>
  </si>
  <si>
    <t>11533420</t>
  </si>
  <si>
    <t>991000551419702656</t>
  </si>
  <si>
    <t>2258341730002656</t>
  </si>
  <si>
    <t>9780898852479</t>
  </si>
  <si>
    <t>32285000081793</t>
  </si>
  <si>
    <t>893496339</t>
  </si>
  <si>
    <t>RJ506.S9 P74 1988</t>
  </si>
  <si>
    <t>0                      RJ 0506000S  9                  P  74          1988</t>
  </si>
  <si>
    <t>Preventing adolescent suicide / [edited by] Dave Capuzzi, Larry Golden.</t>
  </si>
  <si>
    <t>Muncie, Ind. : Accelerated Development Inc., c1988.</t>
  </si>
  <si>
    <t>1998-11-14</t>
  </si>
  <si>
    <t>2940516:eng</t>
  </si>
  <si>
    <t>17533163</t>
  </si>
  <si>
    <t>991001229659702656</t>
  </si>
  <si>
    <t>2264453810002656</t>
  </si>
  <si>
    <t>9780915202744</t>
  </si>
  <si>
    <t>32285000843366</t>
  </si>
  <si>
    <t>893321759</t>
  </si>
  <si>
    <t>RJ506.S9 S85 1990</t>
  </si>
  <si>
    <t>0                      RJ 0506000S  9                  S  85          1990</t>
  </si>
  <si>
    <t>Suicide in children and adolescents / edited by George MacLean.</t>
  </si>
  <si>
    <t>Toronto ; Lewiston, N.Y. : Hogrefe &amp; Huber, c1990.</t>
  </si>
  <si>
    <t>1992-04-09</t>
  </si>
  <si>
    <t>55248996:eng</t>
  </si>
  <si>
    <t>22162780</t>
  </si>
  <si>
    <t>991001749169702656</t>
  </si>
  <si>
    <t>2260593930002656</t>
  </si>
  <si>
    <t>9780920887523</t>
  </si>
  <si>
    <t>32285001009314</t>
  </si>
  <si>
    <t>893334545</t>
  </si>
  <si>
    <t>RJ506.S9 S87 1984</t>
  </si>
  <si>
    <t>0                      RJ 0506000S  9                  S  87          1984</t>
  </si>
  <si>
    <t>Suicide in the young / edited by Howard S. Sudak, Amasa B. Ford, Norman B. Rushforth.</t>
  </si>
  <si>
    <t>Boston : J. Wright : PSG, 1984.</t>
  </si>
  <si>
    <t>2004-01-15</t>
  </si>
  <si>
    <t>353013108:eng</t>
  </si>
  <si>
    <t>10162928</t>
  </si>
  <si>
    <t>991001767299702656</t>
  </si>
  <si>
    <t>2268024170002656</t>
  </si>
  <si>
    <t>9780723670599</t>
  </si>
  <si>
    <t>32285001070084</t>
  </si>
  <si>
    <t>893238326</t>
  </si>
  <si>
    <t>RJ506.V56 B67 2006</t>
  </si>
  <si>
    <t>0                      RJ 0506000V  56                 B  67          2006</t>
  </si>
  <si>
    <t>Assessing and managing violence risk in juveniles / Randy Borum, David Verhaagen.</t>
  </si>
  <si>
    <t>Borum, Randy.</t>
  </si>
  <si>
    <t>2008-04-01</t>
  </si>
  <si>
    <t>52008907:eng</t>
  </si>
  <si>
    <t>68705619</t>
  </si>
  <si>
    <t>991005199839702656</t>
  </si>
  <si>
    <t>2267496470002656</t>
  </si>
  <si>
    <t>9781593853228</t>
  </si>
  <si>
    <t>32285005399976</t>
  </si>
  <si>
    <t>893424718</t>
  </si>
  <si>
    <t>RJ507.A29 H45 1998</t>
  </si>
  <si>
    <t>0                      RJ 0507000A  29                 H  45          1998</t>
  </si>
  <si>
    <t>The abused child : psychodynamic understanding and treatment / Toni Vaughn Heineman ; foreword by Alicia F. Lieberman.</t>
  </si>
  <si>
    <t>Heineman, Toni Vaughn.</t>
  </si>
  <si>
    <t>1999-02-10</t>
  </si>
  <si>
    <t>299120:eng</t>
  </si>
  <si>
    <t>38752982</t>
  </si>
  <si>
    <t>991002921089702656</t>
  </si>
  <si>
    <t>2269308530002656</t>
  </si>
  <si>
    <t>9781572303751</t>
  </si>
  <si>
    <t>32285003518791</t>
  </si>
  <si>
    <t>893780394</t>
  </si>
  <si>
    <t>RJ507.A29 P55 1991</t>
  </si>
  <si>
    <t>0                      RJ 0507000A  29                 P  55          1991</t>
  </si>
  <si>
    <t>Scapegoating in families : intergenerational patterns of physical and emotional abuse / Vimala Pillari.</t>
  </si>
  <si>
    <t>Pillari, Vimala.</t>
  </si>
  <si>
    <t>New York : Brunner/Mazel, c1991.</t>
  </si>
  <si>
    <t>1995-10-01</t>
  </si>
  <si>
    <t>1995-08-21</t>
  </si>
  <si>
    <t>364403633:eng</t>
  </si>
  <si>
    <t>23649431</t>
  </si>
  <si>
    <t>991001872069702656</t>
  </si>
  <si>
    <t>2259874730002656</t>
  </si>
  <si>
    <t>9780876306390</t>
  </si>
  <si>
    <t>32285002078193</t>
  </si>
  <si>
    <t>893346856</t>
  </si>
  <si>
    <t>RJ507.A77 C56 1995</t>
  </si>
  <si>
    <t>0                      RJ 0507000A  77                 C  56          1995</t>
  </si>
  <si>
    <t>Conscienceless acts, societal mayhem : uncontrollable, unreachable youth and today's desensitized world / Foster W. Cline.</t>
  </si>
  <si>
    <t>Cline, Foster.</t>
  </si>
  <si>
    <t>Golden, Colo. : Love and Logic Press, c1995.</t>
  </si>
  <si>
    <t>2000-03-24</t>
  </si>
  <si>
    <t>1997-05-12</t>
  </si>
  <si>
    <t>33663400:eng</t>
  </si>
  <si>
    <t>31707558</t>
  </si>
  <si>
    <t>991002430719702656</t>
  </si>
  <si>
    <t>2272188910002656</t>
  </si>
  <si>
    <t>9780944634196</t>
  </si>
  <si>
    <t>32285002607058</t>
  </si>
  <si>
    <t>893704071</t>
  </si>
  <si>
    <t>RJ507.A77 C57 1988</t>
  </si>
  <si>
    <t>0                      RJ 0507000A  77                 C  57          1988</t>
  </si>
  <si>
    <t>Clinical implications of attachment / editors, Jay Belsky, Teresa Nezworski.</t>
  </si>
  <si>
    <t>Hillsdale, N.J. : L. Erlbaum Associates, 1988.</t>
  </si>
  <si>
    <t>Child psychology</t>
  </si>
  <si>
    <t>2001-11-13</t>
  </si>
  <si>
    <t>1990-07-19</t>
  </si>
  <si>
    <t>350300578:eng</t>
  </si>
  <si>
    <t>14965656</t>
  </si>
  <si>
    <t>991000972389702656</t>
  </si>
  <si>
    <t>2268492920002656</t>
  </si>
  <si>
    <t>9780898597783</t>
  </si>
  <si>
    <t>32285000209741</t>
  </si>
  <si>
    <t>893708879</t>
  </si>
  <si>
    <t>RJ507.D57 C48 1993</t>
  </si>
  <si>
    <t>0                      RJ 0507000D  57                 C  48          1993</t>
  </si>
  <si>
    <t>Children and disasters / edited by Conway F. Saylor.</t>
  </si>
  <si>
    <t>New York : Plenum Press, c1993.</t>
  </si>
  <si>
    <t>Issues in clinical child psychology</t>
  </si>
  <si>
    <t>1996-02-05</t>
  </si>
  <si>
    <t>330009:eng</t>
  </si>
  <si>
    <t>27977878</t>
  </si>
  <si>
    <t>991002174869702656</t>
  </si>
  <si>
    <t>2261684610002656</t>
  </si>
  <si>
    <t>9780306444319</t>
  </si>
  <si>
    <t>32285002127867</t>
  </si>
  <si>
    <t>893510394</t>
  </si>
  <si>
    <t>RJ507.D59 C36 1983</t>
  </si>
  <si>
    <t>0                      RJ 0507000D  59                 C  36          1983</t>
  </si>
  <si>
    <t>Divorced parents and their children : a guide for mental health professionals / Dorothy W. Cantor, Ellen A. Drake ; foreword by Richard A. Gardner.</t>
  </si>
  <si>
    <t>Cantor, Dorothy W.</t>
  </si>
  <si>
    <t>2001-10-23</t>
  </si>
  <si>
    <t>1991-10-29</t>
  </si>
  <si>
    <t>427636070:eng</t>
  </si>
  <si>
    <t>9254446</t>
  </si>
  <si>
    <t>991000157789702656</t>
  </si>
  <si>
    <t>2259104320002656</t>
  </si>
  <si>
    <t>9780826135605</t>
  </si>
  <si>
    <t>32285000803212</t>
  </si>
  <si>
    <t>893871467</t>
  </si>
  <si>
    <t>RJ507.D59 H63 1986</t>
  </si>
  <si>
    <t>0                      RJ 0507000D  59                 H  63          1986</t>
  </si>
  <si>
    <t>Interventions for children of divorce : custody, access, and psychotherapy / William F. Hodges.</t>
  </si>
  <si>
    <t>Hodges, William F.</t>
  </si>
  <si>
    <t>New York, N.Y. : Wiley, c1986.</t>
  </si>
  <si>
    <t>1991-12-19</t>
  </si>
  <si>
    <t>7965509:eng</t>
  </si>
  <si>
    <t>13796027</t>
  </si>
  <si>
    <t>991000875009702656</t>
  </si>
  <si>
    <t>2270733770002656</t>
  </si>
  <si>
    <t>9780471813545</t>
  </si>
  <si>
    <t>32285000861392</t>
  </si>
  <si>
    <t>893589823</t>
  </si>
  <si>
    <t>RJ507.D59 J64 1997</t>
  </si>
  <si>
    <t>0                      RJ 0507000D  59                 J  64          1997</t>
  </si>
  <si>
    <t>In the name of the child : a developmental approach to understanding and helping children of conflicted and violent divorce / Janet R. Johnston, Vivienne Roseby.</t>
  </si>
  <si>
    <t>Johnston, Janet R.</t>
  </si>
  <si>
    <t>New York : Free Press, c1997.</t>
  </si>
  <si>
    <t>2000-10-05</t>
  </si>
  <si>
    <t>1998-02-13</t>
  </si>
  <si>
    <t>196035191:eng</t>
  </si>
  <si>
    <t>36694306</t>
  </si>
  <si>
    <t>991002793999702656</t>
  </si>
  <si>
    <t>2254967310002656</t>
  </si>
  <si>
    <t>9780684827711</t>
  </si>
  <si>
    <t>32285003313912</t>
  </si>
  <si>
    <t>893262474</t>
  </si>
  <si>
    <t>RJ507.F33 R67 1997</t>
  </si>
  <si>
    <t>0                      RJ 0507000F  33                 R  67          1997</t>
  </si>
  <si>
    <t>High-conflict, violent, and separating families : a group treatment manual for school-age children / Vivienne Roseby and Janet R. Johnston.</t>
  </si>
  <si>
    <t>Roseby, Vivienne, 1951-</t>
  </si>
  <si>
    <t>1999-06-30</t>
  </si>
  <si>
    <t>325170560:eng</t>
  </si>
  <si>
    <t>36589152</t>
  </si>
  <si>
    <t>991002786529702656</t>
  </si>
  <si>
    <t>2264341550002656</t>
  </si>
  <si>
    <t>9780684827698</t>
  </si>
  <si>
    <t>32285003313870</t>
  </si>
  <si>
    <t>893691998</t>
  </si>
  <si>
    <t>RJ507.F35 J34 1990</t>
  </si>
  <si>
    <t>0                      RJ 0507000F  35                 J  34          1990</t>
  </si>
  <si>
    <t>Children of battered women / Peter G. Jaffe, David A. Wolfe, Susan Kaye Wilson.</t>
  </si>
  <si>
    <t>Jaffe, Peter G.</t>
  </si>
  <si>
    <t>Newbury Park : Sage Publications, c1990.</t>
  </si>
  <si>
    <t>Developmental clinical psychology and psychiatry ; v. 21</t>
  </si>
  <si>
    <t>1996-04-29</t>
  </si>
  <si>
    <t>1991-06-24</t>
  </si>
  <si>
    <t>22811553:eng</t>
  </si>
  <si>
    <t>21195646</t>
  </si>
  <si>
    <t>991001662879702656</t>
  </si>
  <si>
    <t>2270911230002656</t>
  </si>
  <si>
    <t>9780803933842</t>
  </si>
  <si>
    <t>32285000658673</t>
  </si>
  <si>
    <t>893432998</t>
  </si>
  <si>
    <t>RJ507.F53 P45 1995</t>
  </si>
  <si>
    <t>0                      RJ 0507000F  53                 P  45          1995</t>
  </si>
  <si>
    <t>Groupwork with children of battered women : a practitioner's guide / Einat Peled, Diane Davis.</t>
  </si>
  <si>
    <t>Peled, Einat.</t>
  </si>
  <si>
    <t>Thousand Oaks, Calif. : Sage Publications, c1995.</t>
  </si>
  <si>
    <t>Interpersonal violence : the practice series ; v. 10</t>
  </si>
  <si>
    <t>1995-08-27</t>
  </si>
  <si>
    <t>1995-04-05</t>
  </si>
  <si>
    <t>836952828:eng</t>
  </si>
  <si>
    <t>31131069</t>
  </si>
  <si>
    <t>991002395309702656</t>
  </si>
  <si>
    <t>2269740840002656</t>
  </si>
  <si>
    <t>9780803955141</t>
  </si>
  <si>
    <t>32285002016466</t>
  </si>
  <si>
    <t>893322881</t>
  </si>
  <si>
    <t>RJ507.M54 C36 1994</t>
  </si>
  <si>
    <t>0                      RJ 0507000M  54                 C  36          1994</t>
  </si>
  <si>
    <t>Culturally diverse children and adolescents : assessment, diagnosis, and treatment / Ian A. Canino, Jeanne Spurlock.</t>
  </si>
  <si>
    <t>Canino, Ian A.</t>
  </si>
  <si>
    <t>New York : Guilford Press, c1994.</t>
  </si>
  <si>
    <t>1997-07-01</t>
  </si>
  <si>
    <t>1995-01-20</t>
  </si>
  <si>
    <t>836983144:eng</t>
  </si>
  <si>
    <t>29668487</t>
  </si>
  <si>
    <t>991002288359702656</t>
  </si>
  <si>
    <t>2271070620002656</t>
  </si>
  <si>
    <t>9780898624090</t>
  </si>
  <si>
    <t>32285001993921</t>
  </si>
  <si>
    <t>893517114</t>
  </si>
  <si>
    <t>RJ507.M54 G53 1998</t>
  </si>
  <si>
    <t>0                      RJ 0507000M  54                 G  53          1998</t>
  </si>
  <si>
    <t>Children of color : psychological interventions with culturally diverse youth / Jewelle Taylor Gibbs, Larke Nahme Huang and Associates ; forewords by George Miller, Stanley Sue.</t>
  </si>
  <si>
    <t>Gibbs, Jewelle Taylor.</t>
  </si>
  <si>
    <t>San Francisco : Jossey-Bass, c1998.</t>
  </si>
  <si>
    <t>Updated ed.</t>
  </si>
  <si>
    <t>2007-04-09</t>
  </si>
  <si>
    <t>2002-09-13</t>
  </si>
  <si>
    <t>3857778891:eng</t>
  </si>
  <si>
    <t>36884014</t>
  </si>
  <si>
    <t>991003888709702656</t>
  </si>
  <si>
    <t>2269024510002656</t>
  </si>
  <si>
    <t>9780787908713</t>
  </si>
  <si>
    <t>32285004649454</t>
  </si>
  <si>
    <t>893518981</t>
  </si>
  <si>
    <t>RJ507.M54 H6 1992</t>
  </si>
  <si>
    <t>0                      RJ 0507000M  54                 H  6           1992</t>
  </si>
  <si>
    <t>Minority children and adolescents in therapy / Man Keung Ho.</t>
  </si>
  <si>
    <t>Ho, Man Keung.</t>
  </si>
  <si>
    <t>Newbury Park [Calif.] : Sage Publications, c1992.</t>
  </si>
  <si>
    <t>2000-01-26</t>
  </si>
  <si>
    <t>1995-11-14</t>
  </si>
  <si>
    <t>28628172:eng</t>
  </si>
  <si>
    <t>24792831</t>
  </si>
  <si>
    <t>991001957109702656</t>
  </si>
  <si>
    <t>2261600820002656</t>
  </si>
  <si>
    <t>9780803939127</t>
  </si>
  <si>
    <t>32285002098266</t>
  </si>
  <si>
    <t>893433299</t>
  </si>
  <si>
    <t>RJ507.M54 P79 1983</t>
  </si>
  <si>
    <t>0                      RJ 0507000M  54                 P  79          1983</t>
  </si>
  <si>
    <t>The Psychosocial development of minority group children / editor Gloria Johnson Powell ; associate editors, Joe Yamamoto, Annelisa Romero, and Armando Morales.</t>
  </si>
  <si>
    <t>Larchmont, N.Y. : Brunner/Mazel, c1983.</t>
  </si>
  <si>
    <t>1993-03-04</t>
  </si>
  <si>
    <t>54537922:eng</t>
  </si>
  <si>
    <t>9043763</t>
  </si>
  <si>
    <t>991000117559702656</t>
  </si>
  <si>
    <t>2266494540002656</t>
  </si>
  <si>
    <t>9780876302774</t>
  </si>
  <si>
    <t>32285001529816</t>
  </si>
  <si>
    <t>893314695</t>
  </si>
  <si>
    <t>RJ507.S49 B87 1995</t>
  </si>
  <si>
    <t>0                      RJ 0507000S  49                 B  87          1995</t>
  </si>
  <si>
    <t>Treatment and prevention of childhood sexual abuse : a child-generated model / Sandra A. Burkhardt, Anthony F. Rotatori.</t>
  </si>
  <si>
    <t>Burkhardt, Sandra A.</t>
  </si>
  <si>
    <t>Washington, D.C. : Taylor &amp; Francis, c1995.</t>
  </si>
  <si>
    <t>1999-10-27</t>
  </si>
  <si>
    <t>1996-06-18</t>
  </si>
  <si>
    <t>3010323:eng</t>
  </si>
  <si>
    <t>32130880</t>
  </si>
  <si>
    <t>991002465189702656</t>
  </si>
  <si>
    <t>2263496590002656</t>
  </si>
  <si>
    <t>9781560323204</t>
  </si>
  <si>
    <t>32285002194321</t>
  </si>
  <si>
    <t>893786185</t>
  </si>
  <si>
    <t>RJ507.S49 K45 1984</t>
  </si>
  <si>
    <t>0                      RJ 0507000S  49                 K  45          1984</t>
  </si>
  <si>
    <t>The common secret : sexual abuse of children and adolescents / Ruth S. and C. Henry Kempe.</t>
  </si>
  <si>
    <t>Kempe, Ruth S.</t>
  </si>
  <si>
    <t>New York : W.H. Freeman, c1984.</t>
  </si>
  <si>
    <t>A Series of books in psychology</t>
  </si>
  <si>
    <t>2006-09-25</t>
  </si>
  <si>
    <t>1990-07-11</t>
  </si>
  <si>
    <t>890247133:eng</t>
  </si>
  <si>
    <t>10505618</t>
  </si>
  <si>
    <t>991000382409702656</t>
  </si>
  <si>
    <t>2254903130002656</t>
  </si>
  <si>
    <t>9780716716259</t>
  </si>
  <si>
    <t>32285000235670</t>
  </si>
  <si>
    <t>893413301</t>
  </si>
  <si>
    <t>RJ507.S49 M33 1986</t>
  </si>
  <si>
    <t>0                      RJ 0507000S  49                 M  33          1986</t>
  </si>
  <si>
    <t>Sexual abuse of young children : evaluation and treatment / Kee MacFarlane and Jill Waterman ; with Shawn Conerly, Linda Damon, Michael Durfee, Suzanne Long ; foreword by Roland Summit.</t>
  </si>
  <si>
    <t>MacFarlane, Kee.</t>
  </si>
  <si>
    <t>5608350:eng</t>
  </si>
  <si>
    <t>12972899</t>
  </si>
  <si>
    <t>991000760489702656</t>
  </si>
  <si>
    <t>2263631600002656</t>
  </si>
  <si>
    <t>9780898626759</t>
  </si>
  <si>
    <t>32285000088632</t>
  </si>
  <si>
    <t>893345954</t>
  </si>
  <si>
    <t>RJ507.S49 S49 1990</t>
  </si>
  <si>
    <t>0                      RJ 0507000S  49                 S  49          1990</t>
  </si>
  <si>
    <t>The Sexually abused male / edited by Mic Hunter.</t>
  </si>
  <si>
    <t>Lexington, Mass. : Lexington Books, c1990.</t>
  </si>
  <si>
    <t>2007-11-06</t>
  </si>
  <si>
    <t>1992-05-22</t>
  </si>
  <si>
    <t>1992-06-25</t>
  </si>
  <si>
    <t>22982486:eng</t>
  </si>
  <si>
    <t>21759202</t>
  </si>
  <si>
    <t>991001718509702656</t>
  </si>
  <si>
    <t>2264779000002656</t>
  </si>
  <si>
    <t>9780669250053</t>
  </si>
  <si>
    <t>32285001118016</t>
  </si>
  <si>
    <t>893803825</t>
  </si>
  <si>
    <t>2003-11-13</t>
  </si>
  <si>
    <t>32285001157204</t>
  </si>
  <si>
    <t>893785337</t>
  </si>
  <si>
    <t>RJ507.S53 C34 1998</t>
  </si>
  <si>
    <t>0                      RJ 0507000S  53                 C  34          1998</t>
  </si>
  <si>
    <t>Sibling abuse trauma : assessment and intervention strategies for children, families, and adults / John V. Caffaro, Allison Conn-Caffaro.</t>
  </si>
  <si>
    <t>Caffaro, John V.</t>
  </si>
  <si>
    <t>2004-03-02</t>
  </si>
  <si>
    <t>1999-10-07</t>
  </si>
  <si>
    <t>340767175:eng</t>
  </si>
  <si>
    <t>39189782</t>
  </si>
  <si>
    <t>991002943289702656</t>
  </si>
  <si>
    <t>2257821930002656</t>
  </si>
  <si>
    <t>9780789004918</t>
  </si>
  <si>
    <t>32285003593208</t>
  </si>
  <si>
    <t>893517962</t>
  </si>
  <si>
    <t>RJ507.S77 H36 1997</t>
  </si>
  <si>
    <t>0                      RJ 0507000S  77                 H  36          1997</t>
  </si>
  <si>
    <t>Handbook of children's coping : linking theory and intervention / edited by Sharlene A. Wolchik and Irwin N. Sandler.</t>
  </si>
  <si>
    <t>New York : Plenum Press, c1997.</t>
  </si>
  <si>
    <t>2006-10-27</t>
  </si>
  <si>
    <t>815108522:eng</t>
  </si>
  <si>
    <t>36848131</t>
  </si>
  <si>
    <t>991002805499702656</t>
  </si>
  <si>
    <t>2259182120002656</t>
  </si>
  <si>
    <t>9780306455360</t>
  </si>
  <si>
    <t>32285003463816</t>
  </si>
  <si>
    <t>893341874</t>
  </si>
  <si>
    <t>RJ507.S77 S87 1992</t>
  </si>
  <si>
    <t>0                      RJ 0507000S  77                 S  87          1992</t>
  </si>
  <si>
    <t>Stress and coping in infancy and childhood / edited by Tiffany M. Field, Philip M. McCabe, Neil Schneiderman.</t>
  </si>
  <si>
    <t>Hillsdale, N.J. : L. Erlbaum Associates, 1992.</t>
  </si>
  <si>
    <t>1994-10-05</t>
  </si>
  <si>
    <t>3144924775:eng</t>
  </si>
  <si>
    <t>24141691</t>
  </si>
  <si>
    <t>991001910419702656</t>
  </si>
  <si>
    <t>2262873100002656</t>
  </si>
  <si>
    <t>9780805809442</t>
  </si>
  <si>
    <t>32285001948909</t>
  </si>
  <si>
    <t>893238434</t>
  </si>
  <si>
    <t>RJ550 .C67 1992</t>
  </si>
  <si>
    <t>0                      RJ 0550000C  67          1992</t>
  </si>
  <si>
    <t>Comprehensive adolescent health care / edited by Stanford B. Friedman, Martin Fisher, S. Kenneth Schonberg.</t>
  </si>
  <si>
    <t>St. Louis, Mo. : Quality Medical Pub., 1992.</t>
  </si>
  <si>
    <t>1997-12-09</t>
  </si>
  <si>
    <t>1995-04-24</t>
  </si>
  <si>
    <t>355919095:eng</t>
  </si>
  <si>
    <t>25317080</t>
  </si>
  <si>
    <t>991001993449702656</t>
  </si>
  <si>
    <t>2267716900002656</t>
  </si>
  <si>
    <t>9780942219142</t>
  </si>
  <si>
    <t>32285002035482</t>
  </si>
  <si>
    <t>893510160</t>
  </si>
  <si>
    <t>RJ550 .P76 1982</t>
  </si>
  <si>
    <t>0                      RJ 0550000P  76          1982</t>
  </si>
  <si>
    <t>Promoting adolescent health : a dialog on research and practice / edited by Thomas J. Coates, Anne C. Petersen, Cheryl Perry.</t>
  </si>
  <si>
    <t>New York : Academic Press, 1982.</t>
  </si>
  <si>
    <t>1994-03-31</t>
  </si>
  <si>
    <t>3769328743:eng</t>
  </si>
  <si>
    <t>8451624</t>
  </si>
  <si>
    <t>991005244729702656</t>
  </si>
  <si>
    <t>2265978360002656</t>
  </si>
  <si>
    <t>9780121773809</t>
  </si>
  <si>
    <t>32285001529824</t>
  </si>
  <si>
    <t>893338796</t>
  </si>
  <si>
    <t>RJ560 .C46 1996</t>
  </si>
  <si>
    <t>0                      RJ 0560000C  46          1996</t>
  </si>
  <si>
    <t>Children, medicines, and culture / Patricia J. Bush ...[et al.], editors.</t>
  </si>
  <si>
    <t>New York : Pharmaceutical Products Press, c1996.</t>
  </si>
  <si>
    <t>2000-02-09</t>
  </si>
  <si>
    <t>354636151:eng</t>
  </si>
  <si>
    <t>32464999</t>
  </si>
  <si>
    <t>991001791849702656</t>
  </si>
  <si>
    <t>2268508220002656</t>
  </si>
  <si>
    <t>9781560249375</t>
  </si>
  <si>
    <t>32285003649166</t>
  </si>
  <si>
    <t>893697039</t>
  </si>
  <si>
    <t>RJ59 .D43 1982</t>
  </si>
  <si>
    <t>0                      RJ 0059000D  43          1982</t>
  </si>
  <si>
    <t>Coping with sudden infant death / John DeFrain, Jacque Taylor, Linda Ernst.</t>
  </si>
  <si>
    <t>DeFrain, John D.</t>
  </si>
  <si>
    <t>Lexington, Mass. : LexingtonBooks, c1982.</t>
  </si>
  <si>
    <t>1995-10-03</t>
  </si>
  <si>
    <t>515048:eng</t>
  </si>
  <si>
    <t>8280586</t>
  </si>
  <si>
    <t>991005225129702656</t>
  </si>
  <si>
    <t>2257381950002656</t>
  </si>
  <si>
    <t>9780669054538</t>
  </si>
  <si>
    <t>32285002024759</t>
  </si>
  <si>
    <t>893877155</t>
  </si>
  <si>
    <t>RJ59 .K85 1985</t>
  </si>
  <si>
    <t>0                      RJ 0059000K  85          1985</t>
  </si>
  <si>
    <t>Should the baby live? : the problem of handicapped infants / Helga Kuhse and Peter Singer.</t>
  </si>
  <si>
    <t>Kuhse, Helga.</t>
  </si>
  <si>
    <t>Oxford [Oxfordshire] ; New York : Oxford University Press, 1985.</t>
  </si>
  <si>
    <t>Studies in bioethics</t>
  </si>
  <si>
    <t>2009-03-10</t>
  </si>
  <si>
    <t>2009-10-02</t>
  </si>
  <si>
    <t>836702532:eng</t>
  </si>
  <si>
    <t>11756332</t>
  </si>
  <si>
    <t>991001681959702656</t>
  </si>
  <si>
    <t>2269050900002656</t>
  </si>
  <si>
    <t>9780192177452</t>
  </si>
  <si>
    <t>32285001102507</t>
  </si>
  <si>
    <t>893433030</t>
  </si>
  <si>
    <t>RJ59 .N48 1981</t>
  </si>
  <si>
    <t>0                      RJ 0059000N  48          1981</t>
  </si>
  <si>
    <t>Infant mortality and the health of societies / Kathleen Newland.</t>
  </si>
  <si>
    <t>Newland, Kathleen.</t>
  </si>
  <si>
    <t>Washington, D.C. : Worldwatch Institute, 1981.</t>
  </si>
  <si>
    <t>Worldwatch paper ; 47</t>
  </si>
  <si>
    <t>2003-02-05</t>
  </si>
  <si>
    <t>560987:eng</t>
  </si>
  <si>
    <t>8085582</t>
  </si>
  <si>
    <t>991005201349702656</t>
  </si>
  <si>
    <t>2256960790002656</t>
  </si>
  <si>
    <t>9780916468460</t>
  </si>
  <si>
    <t>32285001088722</t>
  </si>
  <si>
    <t>893807987</t>
  </si>
  <si>
    <t>RJ60.U5 B66 1989</t>
  </si>
  <si>
    <t>0                      RJ 0060000U  5                  B  66          1989</t>
  </si>
  <si>
    <t>Capital crime : Black infant mortality in America / Margaret S. Boone ; foreword by John W. Scanlon.</t>
  </si>
  <si>
    <t>Boone, Margaret S.</t>
  </si>
  <si>
    <t>Newbury Park : Sage, c1989.</t>
  </si>
  <si>
    <t>Frontiers of anthropology ; 4</t>
  </si>
  <si>
    <t>2004-01-28</t>
  </si>
  <si>
    <t>18999385:eng</t>
  </si>
  <si>
    <t>19126826</t>
  </si>
  <si>
    <t>991001434629702656</t>
  </si>
  <si>
    <t>2271163620002656</t>
  </si>
  <si>
    <t>9780803933743</t>
  </si>
  <si>
    <t>32285001609667</t>
  </si>
  <si>
    <t>893772599</t>
  </si>
  <si>
    <t>RJ61 .L4413 1976</t>
  </si>
  <si>
    <t>0                      RJ 0061000L  4413        1976</t>
  </si>
  <si>
    <t>Loving hands / by Frederick Leboyer.</t>
  </si>
  <si>
    <t>Leboyer, Frédérick.</t>
  </si>
  <si>
    <t>New York : Knopf : distributed by Random House, 1976.</t>
  </si>
  <si>
    <t>1995-02-16</t>
  </si>
  <si>
    <t>10567936343:eng</t>
  </si>
  <si>
    <t>2230535</t>
  </si>
  <si>
    <t>991004057599702656</t>
  </si>
  <si>
    <t>2262256230002656</t>
  </si>
  <si>
    <t>9780394404691</t>
  </si>
  <si>
    <t>32285001609683</t>
  </si>
  <si>
    <t>893247107</t>
  </si>
  <si>
    <t>RJ71 .M42 1985</t>
  </si>
  <si>
    <t>0                      RJ 0071000M  42          1985</t>
  </si>
  <si>
    <t>Medical problems in the classroom : the teacher's role in diagnosis and management / edited by Robert H.A. Haslam and Peter J. Valletutti.</t>
  </si>
  <si>
    <t>Austin, Tex. : PRO-ED, c1985.</t>
  </si>
  <si>
    <t>836656604:eng</t>
  </si>
  <si>
    <t>11785686</t>
  </si>
  <si>
    <t>991000592169702656</t>
  </si>
  <si>
    <t>2255770240002656</t>
  </si>
  <si>
    <t>9780936104744</t>
  </si>
  <si>
    <t>32285000885177</t>
  </si>
  <si>
    <t>893878193</t>
  </si>
  <si>
    <t>RJ85 .C45 1994</t>
  </si>
  <si>
    <t>0                      RJ 0085000C  45          1994</t>
  </si>
  <si>
    <t>Children as research subjects : science, ethics, and law / edited by Michael A. Grodin, Leonard H. Glantz.</t>
  </si>
  <si>
    <t>New York : Oxford University Press, 1994.</t>
  </si>
  <si>
    <t>2006-09-13</t>
  </si>
  <si>
    <t>1994-06-02</t>
  </si>
  <si>
    <t>1994-08-15</t>
  </si>
  <si>
    <t>836733957:eng</t>
  </si>
  <si>
    <t>27854169</t>
  </si>
  <si>
    <t>991001657719702656</t>
  </si>
  <si>
    <t>2264336120002656</t>
  </si>
  <si>
    <t>9780195071030</t>
  </si>
  <si>
    <t>32285001920916</t>
  </si>
  <si>
    <t>893509796</t>
  </si>
  <si>
    <t>1987-10-18</t>
  </si>
  <si>
    <t>2267746880002656</t>
  </si>
  <si>
    <t>30001000036469</t>
  </si>
  <si>
    <t>893643847</t>
  </si>
  <si>
    <t>1988-01-03</t>
  </si>
  <si>
    <t>2260159860002656</t>
  </si>
  <si>
    <t>30001000268310</t>
  </si>
  <si>
    <t>893732398</t>
  </si>
  <si>
    <t>1999-03-24</t>
  </si>
  <si>
    <t>1988-01-04</t>
  </si>
  <si>
    <t>2270558390002656</t>
  </si>
  <si>
    <t>30001000292609</t>
  </si>
  <si>
    <t>893377619</t>
  </si>
  <si>
    <t>1988-06-08</t>
  </si>
  <si>
    <t>2264793500002656</t>
  </si>
  <si>
    <t>30001000150898</t>
  </si>
  <si>
    <t>893370049</t>
  </si>
  <si>
    <t>1987-12-31</t>
  </si>
  <si>
    <t>2270968460002656</t>
  </si>
  <si>
    <t>30001000267262</t>
  </si>
  <si>
    <t>893168901</t>
  </si>
  <si>
    <t>2003-02-11</t>
  </si>
  <si>
    <t>1988-01-08</t>
  </si>
  <si>
    <t>30001000267270</t>
  </si>
  <si>
    <t>893163027</t>
  </si>
  <si>
    <t>1997-11-10</t>
  </si>
  <si>
    <t>30001000267288</t>
  </si>
  <si>
    <t>893163026</t>
  </si>
  <si>
    <t>1998-06-03</t>
  </si>
  <si>
    <t>1987-12-19</t>
  </si>
  <si>
    <t>2261972910002656</t>
  </si>
  <si>
    <t>30001000635484</t>
  </si>
  <si>
    <t>893274610</t>
  </si>
  <si>
    <t>2272217500002656</t>
  </si>
  <si>
    <t>30001000268278</t>
  </si>
  <si>
    <t>893466027</t>
  </si>
  <si>
    <t>RJ245 .A5</t>
  </si>
  <si>
    <t>0                      RJ 0245000A  5</t>
  </si>
  <si>
    <t>Workbook for pediatric nurses / Norma J. Anderson.</t>
  </si>
  <si>
    <t>Anderson, Norma J.</t>
  </si>
  <si>
    <t>-- St. Louis : Mosby, 1970.</t>
  </si>
  <si>
    <t>|||</t>
  </si>
  <si>
    <t>1988-01-13</t>
  </si>
  <si>
    <t>2636705:eng</t>
  </si>
  <si>
    <t>264715</t>
  </si>
  <si>
    <t>991001031879702656</t>
  </si>
  <si>
    <t>2268018490002656</t>
  </si>
  <si>
    <t>30001000240012</t>
  </si>
  <si>
    <t>893552069</t>
  </si>
  <si>
    <t>1987-10-24</t>
  </si>
  <si>
    <t>2262478560002656</t>
  </si>
  <si>
    <t>30001000040610</t>
  </si>
  <si>
    <t>893377587</t>
  </si>
  <si>
    <t>1988-01-07</t>
  </si>
  <si>
    <t>2259192570002656</t>
  </si>
  <si>
    <t>30001000850349</t>
  </si>
  <si>
    <t>893375253</t>
  </si>
  <si>
    <t>2264147340002656</t>
  </si>
  <si>
    <t>30001004502177</t>
  </si>
  <si>
    <t>893274407</t>
  </si>
  <si>
    <t>1988-01-18</t>
  </si>
  <si>
    <t>2261635470002656</t>
  </si>
  <si>
    <t>30001000072951</t>
  </si>
  <si>
    <t>893162168</t>
  </si>
  <si>
    <t>1987-12-18</t>
  </si>
  <si>
    <t>2261443020002656</t>
  </si>
  <si>
    <t>30001000635500</t>
  </si>
  <si>
    <t>893135845</t>
  </si>
  <si>
    <t>RJ396 .H4</t>
  </si>
  <si>
    <t>0                      RJ 0396000H  4</t>
  </si>
  <si>
    <t>Rickets : including osteomalacia and tetany / by Alfred F. Hess.</t>
  </si>
  <si>
    <t>Hess, Alfred F., 1875-1933.</t>
  </si>
  <si>
    <t>Philadelphia : Lea &amp; Febiger, c1929.</t>
  </si>
  <si>
    <t>1929</t>
  </si>
  <si>
    <t>xxu</t>
  </si>
  <si>
    <t>2002-09-09</t>
  </si>
  <si>
    <t>1987-12-17</t>
  </si>
  <si>
    <t>2455730:eng</t>
  </si>
  <si>
    <t>1580915</t>
  </si>
  <si>
    <t>991001436239702656</t>
  </si>
  <si>
    <t>2270300170002656</t>
  </si>
  <si>
    <t>30001000529117</t>
  </si>
  <si>
    <t>893358582</t>
  </si>
  <si>
    <t>RJ399.C6 C5</t>
  </si>
  <si>
    <t>0                      RJ 0399000C  6                  C  5</t>
  </si>
  <si>
    <t>Childhood obesity / Platon J. Collipp, editor ; with contributions by William L. Asher ... [et al.]</t>
  </si>
  <si>
    <t>-- Acton, Mass. : Publishing Sciences Group, 1975.</t>
  </si>
  <si>
    <t>1997-10-28</t>
  </si>
  <si>
    <t>1987-10-30</t>
  </si>
  <si>
    <t>54300806:eng</t>
  </si>
  <si>
    <t>1844473</t>
  </si>
  <si>
    <t>991001009299702656</t>
  </si>
  <si>
    <t>2259654140002656</t>
  </si>
  <si>
    <t>9780884160168</t>
  </si>
  <si>
    <t>30001000234973</t>
  </si>
  <si>
    <t>893648832</t>
  </si>
  <si>
    <t>RJ399.M26 M35</t>
  </si>
  <si>
    <t>0                      RJ 0399000M  26                 M  35</t>
  </si>
  <si>
    <t>Malnutrition and the immune response / edited by Robert M. Suskind.</t>
  </si>
  <si>
    <t>-- New York : Raven Press, 1977.</t>
  </si>
  <si>
    <t>Kroc Foundation series ; v. 7</t>
  </si>
  <si>
    <t>1987-10-29</t>
  </si>
  <si>
    <t>364238510:eng</t>
  </si>
  <si>
    <t>2847721</t>
  </si>
  <si>
    <t>991001007009702656</t>
  </si>
  <si>
    <t>2259854580002656</t>
  </si>
  <si>
    <t>9780890040607</t>
  </si>
  <si>
    <t>30001000234270</t>
  </si>
  <si>
    <t>893450777</t>
  </si>
  <si>
    <t>RJ496.E6 A67 2004</t>
  </si>
  <si>
    <t>0                      RJ 0496000E  6                  A  67          2004</t>
  </si>
  <si>
    <t>Epilepsy in childhood and adolescence / Richard Appleton, John Gibbs.</t>
  </si>
  <si>
    <t>Appleton, Richard, 1955-</t>
  </si>
  <si>
    <t>London ; New York : Martin Dunitz ; Independence, KY : Distributed in the USA by Taylor &amp; Francis, c2004.</t>
  </si>
  <si>
    <t>2004-09-24</t>
  </si>
  <si>
    <t>2004-09-13</t>
  </si>
  <si>
    <t>813298:eng</t>
  </si>
  <si>
    <t>54914006</t>
  </si>
  <si>
    <t>991000387829702656</t>
  </si>
  <si>
    <t>2271822640002656</t>
  </si>
  <si>
    <t>9781841843629</t>
  </si>
  <si>
    <t>30001004922631</t>
  </si>
  <si>
    <t>893109502</t>
  </si>
  <si>
    <t>1987-12-02</t>
  </si>
  <si>
    <t>2266677560002656</t>
  </si>
  <si>
    <t>30001000328429</t>
  </si>
  <si>
    <t>893279677</t>
  </si>
  <si>
    <t>2268206480002656</t>
  </si>
  <si>
    <t>30001000151797</t>
  </si>
  <si>
    <t>893466015</t>
  </si>
  <si>
    <t>1988-01-20</t>
  </si>
  <si>
    <t>2259528530002656</t>
  </si>
  <si>
    <t>30001000151482</t>
  </si>
  <si>
    <t>893638623</t>
  </si>
  <si>
    <t>1987-11-15</t>
  </si>
  <si>
    <t>2268853630002656</t>
  </si>
  <si>
    <t>30001000820227</t>
  </si>
  <si>
    <t>893377617</t>
  </si>
  <si>
    <t>1989-10-04</t>
  </si>
  <si>
    <t>1988-03-27</t>
  </si>
  <si>
    <t>2267666380002656</t>
  </si>
  <si>
    <t>30001000059800</t>
  </si>
  <si>
    <t>893832574</t>
  </si>
  <si>
    <t>1987-12-03</t>
  </si>
  <si>
    <t>2256605940002656</t>
  </si>
  <si>
    <t>30001000318891</t>
  </si>
  <si>
    <t>893643876</t>
  </si>
  <si>
    <t>1990-02-15</t>
  </si>
  <si>
    <t>2261444320002656</t>
  </si>
  <si>
    <t>30001001880865</t>
  </si>
  <si>
    <t>893456316</t>
  </si>
  <si>
    <t>2269846580002656</t>
  </si>
  <si>
    <t>30001000151284</t>
  </si>
  <si>
    <t>893150188</t>
  </si>
  <si>
    <t>1987-12-08</t>
  </si>
  <si>
    <t>2271395800002656</t>
  </si>
  <si>
    <t>30001000280182</t>
  </si>
  <si>
    <t>893741464</t>
  </si>
  <si>
    <t>2261003110002656</t>
  </si>
  <si>
    <t>30001000820219</t>
  </si>
  <si>
    <t>893821715</t>
  </si>
  <si>
    <t>2266561500002656</t>
  </si>
  <si>
    <t>30001000820250</t>
  </si>
  <si>
    <t>893359192</t>
  </si>
  <si>
    <t>2268553840002656</t>
  </si>
  <si>
    <t>30001000556086</t>
  </si>
  <si>
    <t>893274595</t>
  </si>
  <si>
    <t>1996-02-04</t>
  </si>
  <si>
    <t>2255105220002656</t>
  </si>
  <si>
    <t>30001000820276</t>
  </si>
  <si>
    <t>893558567</t>
  </si>
  <si>
    <t>1990-01-17</t>
  </si>
  <si>
    <t>2272371690002656</t>
  </si>
  <si>
    <t>30001001799727</t>
  </si>
  <si>
    <t>893279682</t>
  </si>
  <si>
    <t>1992-10-28</t>
  </si>
  <si>
    <t>2270929370002656</t>
  </si>
  <si>
    <t>30001000249161</t>
  </si>
  <si>
    <t>893736952</t>
  </si>
  <si>
    <t>1993-10-25</t>
  </si>
  <si>
    <t>1988-01-05</t>
  </si>
  <si>
    <t>2266536310002656</t>
  </si>
  <si>
    <t>30001000150823</t>
  </si>
  <si>
    <t>893370048</t>
  </si>
  <si>
    <t>2264453600002656</t>
  </si>
  <si>
    <t>30001000059206</t>
  </si>
  <si>
    <t>893816666</t>
  </si>
  <si>
    <t>2263285010002656</t>
  </si>
  <si>
    <t>30001000268534</t>
  </si>
  <si>
    <t>893547329</t>
  </si>
  <si>
    <t>1987-09-18</t>
  </si>
  <si>
    <t>2268024190002656</t>
  </si>
  <si>
    <t>30001000081580</t>
  </si>
  <si>
    <t>893163018</t>
  </si>
  <si>
    <t>RJ 507.A29 H43 2004</t>
  </si>
  <si>
    <t>0                      RJ 0507000A  29                 H  43          2004</t>
  </si>
  <si>
    <t>Health consequences of abuse in the family : a clinical guide for evidence-based practice / edited by Kathleen A. Kendall-Tackett.</t>
  </si>
  <si>
    <t>Washington, DC : American Psychological Association, c2004.</t>
  </si>
  <si>
    <t>Application and practice in health psychology</t>
  </si>
  <si>
    <t>2004-10-04</t>
  </si>
  <si>
    <t>1078140611:eng</t>
  </si>
  <si>
    <t>52806424</t>
  </si>
  <si>
    <t>991001726589702656</t>
  </si>
  <si>
    <t>2265492070002656</t>
  </si>
  <si>
    <t>9781591470458</t>
  </si>
  <si>
    <t>30001004979102</t>
  </si>
  <si>
    <t>893643782</t>
  </si>
  <si>
    <t>1997-06-09</t>
  </si>
  <si>
    <t>2268508200002656</t>
  </si>
  <si>
    <t>30001003680446</t>
  </si>
  <si>
    <t>893638636</t>
  </si>
  <si>
    <t>IN SERIALS</t>
  </si>
  <si>
    <t>8IN SERIALS</t>
  </si>
  <si>
    <t>Juvenile rheumatoid arthritis / Earl J. Brewer, Edward H. Giannini, and Donald A. Person.</t>
  </si>
  <si>
    <t>Brewer, Earl J., 1928-</t>
  </si>
  <si>
    <t>Philadelphia : Saunders, c1982.</t>
  </si>
  <si>
    <t>Major problems in clinical pediatrics ; v. 6</t>
  </si>
  <si>
    <t>1991-02-14</t>
  </si>
  <si>
    <t>1989-06-12</t>
  </si>
  <si>
    <t>448008:eng</t>
  </si>
  <si>
    <t>7774234</t>
  </si>
  <si>
    <t>991001437179702656</t>
  </si>
  <si>
    <t>2272644410002656</t>
  </si>
  <si>
    <t>9780721619866</t>
  </si>
  <si>
    <t>89700-1001</t>
  </si>
  <si>
    <t>893121490</t>
  </si>
  <si>
    <t>The lung and its disorders in the newborn infant / by Mary Ellen Avery.</t>
  </si>
  <si>
    <t>Avery, Mary Ellen, 1927-2011.</t>
  </si>
  <si>
    <t>-- Philadelphia : Saunders, 1964.</t>
  </si>
  <si>
    <t>Major problems in clinical pediatrics ; v. 1</t>
  </si>
  <si>
    <t>1994-01-18</t>
  </si>
  <si>
    <t>1989-06-09</t>
  </si>
  <si>
    <t>1573742:eng</t>
  </si>
  <si>
    <t>993467</t>
  </si>
  <si>
    <t>991001436739702656</t>
  </si>
  <si>
    <t>2255996130002656</t>
  </si>
  <si>
    <t>89688-1001</t>
  </si>
  <si>
    <t>893268520</t>
  </si>
  <si>
    <t>Hematologic problems in the newborn / by Frank A. Oski and J. Lawrence Naiman.</t>
  </si>
  <si>
    <t>Oski, Frank A.</t>
  </si>
  <si>
    <t>-- Philadelphia : Saunders, 1966.</t>
  </si>
  <si>
    <t>Major problems in clinical pediatrics ; v. 4</t>
  </si>
  <si>
    <t>1993-01-29</t>
  </si>
  <si>
    <t>10792287252:eng</t>
  </si>
  <si>
    <t>3677162</t>
  </si>
  <si>
    <t>991001437039702656</t>
  </si>
  <si>
    <t>2262688770002656</t>
  </si>
  <si>
    <t>89696-1001</t>
  </si>
  <si>
    <t>893455804</t>
  </si>
  <si>
    <t>Neurology of the newborn / Joseph J. Volpe.</t>
  </si>
  <si>
    <t>Volpe, Joseph J.</t>
  </si>
  <si>
    <t>Philadelphia : Saunders, c1981.</t>
  </si>
  <si>
    <t>Major problems in clinical pediatrics ; v. 22</t>
  </si>
  <si>
    <t>1992-08-10</t>
  </si>
  <si>
    <t>2709133:eng</t>
  </si>
  <si>
    <t>6666494</t>
  </si>
  <si>
    <t>991001437809702656</t>
  </si>
  <si>
    <t>2261204640002656</t>
  </si>
  <si>
    <t>9780721690773</t>
  </si>
  <si>
    <t>89715-1001</t>
  </si>
  <si>
    <t>893358583</t>
  </si>
  <si>
    <t>Neurologic infections in children / by William E. Bell, William F. McCormick.</t>
  </si>
  <si>
    <t>Bell, William Edward, 1929-</t>
  </si>
  <si>
    <t>Philadelphia : Saunders, 1981.</t>
  </si>
  <si>
    <t>Major problems in clinical pediatrics ; v. 12</t>
  </si>
  <si>
    <t>1992-08-24</t>
  </si>
  <si>
    <t>2129693:eng</t>
  </si>
  <si>
    <t>7573425</t>
  </si>
  <si>
    <t>991001437379702656</t>
  </si>
  <si>
    <t>2255886460002656</t>
  </si>
  <si>
    <t>9780721616766</t>
  </si>
  <si>
    <t>89705-1001</t>
  </si>
  <si>
    <t>893455806</t>
  </si>
  <si>
    <t>Philadelphia : Saunders, 1972.</t>
  </si>
  <si>
    <t>-- 2d ed. --</t>
  </si>
  <si>
    <t>3372488204:eng</t>
  </si>
  <si>
    <t>297607</t>
  </si>
  <si>
    <t>991001437099702656</t>
  </si>
  <si>
    <t>2264827510002656</t>
  </si>
  <si>
    <t>9780721670218</t>
  </si>
  <si>
    <t>89698-1001</t>
  </si>
  <si>
    <t>893451184</t>
  </si>
  <si>
    <t>Increased intracranial pressure in children / by William E. Bell and William F. McCormick.</t>
  </si>
  <si>
    <t>-- Philadelphia : Saunders, 1972.</t>
  </si>
  <si>
    <t>Major problems in clinical pediatrics ; v. 8</t>
  </si>
  <si>
    <t>889763115:eng</t>
  </si>
  <si>
    <t>403062</t>
  </si>
  <si>
    <t>991001437219702656</t>
  </si>
  <si>
    <t>2265302360002656</t>
  </si>
  <si>
    <t>9780721616834</t>
  </si>
  <si>
    <t>89701-1001</t>
  </si>
  <si>
    <t>893455805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</si>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</sst>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075C-24DB-4807-9527-CC720C535C1E}">
  <dimension ref="A1:BD521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45" customHeight="1" x14ac:dyDescent="0.25"/>
  <cols>
    <col min="1" max="1" width="18.7109375" style="8" customWidth="1"/>
    <col min="2" max="2" width="15.28515625" customWidth="1"/>
    <col min="3" max="3" width="9.140625" hidden="1" customWidth="1"/>
    <col min="4" max="4" width="51.28515625" customWidth="1"/>
    <col min="6" max="10" width="9.140625" hidden="1" customWidth="1"/>
    <col min="11" max="11" width="21" customWidth="1"/>
    <col min="12" max="12" width="17.85546875" customWidth="1"/>
    <col min="14" max="17" width="9.140625" hidden="1" customWidth="1"/>
    <col min="20" max="26" width="9.140625" hidden="1" customWidth="1"/>
    <col min="28" max="28" width="9.140625" hidden="1" customWidth="1"/>
    <col min="30" max="30" width="9.140625" hidden="1" customWidth="1"/>
    <col min="31" max="31" width="15.140625" customWidth="1"/>
    <col min="32" max="41" width="9.140625" hidden="1" customWidth="1"/>
    <col min="42" max="44" width="11" customWidth="1"/>
    <col min="46" max="46" width="10.28515625" customWidth="1"/>
    <col min="47" max="54" width="9.140625" hidden="1" customWidth="1"/>
    <col min="55" max="55" width="11.42578125" hidden="1" customWidth="1"/>
    <col min="56" max="56" width="14.42578125" hidden="1" customWidth="1"/>
  </cols>
  <sheetData>
    <row r="1" spans="1:56" ht="45" customHeight="1" x14ac:dyDescent="0.25">
      <c r="A1" s="7" t="s">
        <v>6484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45" customHeight="1" x14ac:dyDescent="0.25">
      <c r="A2" s="8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L2" s="2" t="s">
        <v>61</v>
      </c>
      <c r="M2" s="3" t="s">
        <v>62</v>
      </c>
      <c r="N2" s="2" t="s">
        <v>63</v>
      </c>
      <c r="O2" s="3" t="s">
        <v>64</v>
      </c>
      <c r="P2" s="3" t="s">
        <v>65</v>
      </c>
      <c r="R2" s="3" t="s">
        <v>66</v>
      </c>
      <c r="S2" s="4">
        <v>1</v>
      </c>
      <c r="T2" s="4">
        <v>1</v>
      </c>
      <c r="U2" s="5" t="s">
        <v>67</v>
      </c>
      <c r="V2" s="5" t="s">
        <v>67</v>
      </c>
      <c r="W2" s="5" t="s">
        <v>67</v>
      </c>
      <c r="X2" s="5" t="s">
        <v>67</v>
      </c>
      <c r="Y2" s="4">
        <v>163</v>
      </c>
      <c r="Z2" s="4">
        <v>124</v>
      </c>
      <c r="AA2" s="4">
        <v>126</v>
      </c>
      <c r="AB2" s="4">
        <v>1</v>
      </c>
      <c r="AC2" s="4">
        <v>1</v>
      </c>
      <c r="AD2" s="4">
        <v>2</v>
      </c>
      <c r="AE2" s="4">
        <v>2</v>
      </c>
      <c r="AF2" s="4">
        <v>0</v>
      </c>
      <c r="AG2" s="4">
        <v>0</v>
      </c>
      <c r="AH2" s="4">
        <v>1</v>
      </c>
      <c r="AI2" s="4">
        <v>1</v>
      </c>
      <c r="AJ2" s="4">
        <v>1</v>
      </c>
      <c r="AK2" s="4">
        <v>1</v>
      </c>
      <c r="AL2" s="4">
        <v>0</v>
      </c>
      <c r="AM2" s="4">
        <v>0</v>
      </c>
      <c r="AN2" s="4">
        <v>0</v>
      </c>
      <c r="AO2" s="4">
        <v>0</v>
      </c>
      <c r="AP2" s="3" t="s">
        <v>58</v>
      </c>
      <c r="AQ2" s="3" t="s">
        <v>68</v>
      </c>
      <c r="AR2" s="6" t="str">
        <f>HYPERLINK("http://catalog.hathitrust.org/Record/004312583","HathiTrust Record")</f>
        <v>HathiTrust Record</v>
      </c>
      <c r="AS2" s="6" t="str">
        <f>HYPERLINK("https://creighton-primo.hosted.exlibrisgroup.com/primo-explore/search?tab=default_tab&amp;search_scope=EVERYTHING&amp;vid=01CRU&amp;lang=en_US&amp;offset=0&amp;query=any,contains,991004263209702656","Catalog Record")</f>
        <v>Catalog Record</v>
      </c>
      <c r="AT2" s="6" t="str">
        <f>HYPERLINK("http://www.worldcat.org/oclc/49942992","WorldCat Record")</f>
        <v>WorldCat Record</v>
      </c>
      <c r="AU2" s="3" t="s">
        <v>69</v>
      </c>
      <c r="AV2" s="3" t="s">
        <v>70</v>
      </c>
      <c r="AW2" s="3" t="s">
        <v>71</v>
      </c>
      <c r="AX2" s="3" t="s">
        <v>71</v>
      </c>
      <c r="AY2" s="3" t="s">
        <v>72</v>
      </c>
      <c r="AZ2" s="3" t="s">
        <v>73</v>
      </c>
      <c r="BB2" s="3" t="s">
        <v>74</v>
      </c>
      <c r="BC2" s="3" t="s">
        <v>75</v>
      </c>
      <c r="BD2" s="3" t="s">
        <v>76</v>
      </c>
    </row>
    <row r="3" spans="1:56" ht="45" customHeight="1" x14ac:dyDescent="0.25">
      <c r="A3" s="8" t="s">
        <v>58</v>
      </c>
      <c r="B3" s="2" t="s">
        <v>77</v>
      </c>
      <c r="C3" s="2" t="s">
        <v>78</v>
      </c>
      <c r="D3" s="2" t="s">
        <v>79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K3" s="2" t="s">
        <v>80</v>
      </c>
      <c r="L3" s="2" t="s">
        <v>81</v>
      </c>
      <c r="M3" s="3" t="s">
        <v>82</v>
      </c>
      <c r="O3" s="3" t="s">
        <v>64</v>
      </c>
      <c r="P3" s="3" t="s">
        <v>65</v>
      </c>
      <c r="Q3" s="2" t="s">
        <v>83</v>
      </c>
      <c r="R3" s="3" t="s">
        <v>66</v>
      </c>
      <c r="S3" s="4">
        <v>16</v>
      </c>
      <c r="T3" s="4">
        <v>16</v>
      </c>
      <c r="U3" s="5" t="s">
        <v>84</v>
      </c>
      <c r="V3" s="5" t="s">
        <v>84</v>
      </c>
      <c r="W3" s="5" t="s">
        <v>85</v>
      </c>
      <c r="X3" s="5" t="s">
        <v>85</v>
      </c>
      <c r="Y3" s="4">
        <v>212</v>
      </c>
      <c r="Z3" s="4">
        <v>185</v>
      </c>
      <c r="AA3" s="4">
        <v>187</v>
      </c>
      <c r="AB3" s="4">
        <v>3</v>
      </c>
      <c r="AC3" s="4">
        <v>3</v>
      </c>
      <c r="AD3" s="4">
        <v>5</v>
      </c>
      <c r="AE3" s="4">
        <v>5</v>
      </c>
      <c r="AF3" s="4">
        <v>1</v>
      </c>
      <c r="AG3" s="4">
        <v>1</v>
      </c>
      <c r="AH3" s="4">
        <v>0</v>
      </c>
      <c r="AI3" s="4">
        <v>0</v>
      </c>
      <c r="AJ3" s="4">
        <v>3</v>
      </c>
      <c r="AK3" s="4">
        <v>3</v>
      </c>
      <c r="AL3" s="4">
        <v>2</v>
      </c>
      <c r="AM3" s="4">
        <v>2</v>
      </c>
      <c r="AN3" s="4">
        <v>0</v>
      </c>
      <c r="AO3" s="4">
        <v>0</v>
      </c>
      <c r="AP3" s="3" t="s">
        <v>58</v>
      </c>
      <c r="AQ3" s="3" t="s">
        <v>68</v>
      </c>
      <c r="AR3" s="6" t="str">
        <f>HYPERLINK("http://catalog.hathitrust.org/Record/000044670","HathiTrust Record")</f>
        <v>HathiTrust Record</v>
      </c>
      <c r="AS3" s="6" t="str">
        <f>HYPERLINK("https://creighton-primo.hosted.exlibrisgroup.com/primo-explore/search?tab=default_tab&amp;search_scope=EVERYTHING&amp;vid=01CRU&amp;lang=en_US&amp;offset=0&amp;query=any,contains,991004650129702656","Catalog Record")</f>
        <v>Catalog Record</v>
      </c>
      <c r="AT3" s="6" t="str">
        <f>HYPERLINK("http://www.worldcat.org/oclc/4493593","WorldCat Record")</f>
        <v>WorldCat Record</v>
      </c>
      <c r="AU3" s="3" t="s">
        <v>86</v>
      </c>
      <c r="AV3" s="3" t="s">
        <v>87</v>
      </c>
      <c r="AW3" s="3" t="s">
        <v>88</v>
      </c>
      <c r="AX3" s="3" t="s">
        <v>88</v>
      </c>
      <c r="AY3" s="3" t="s">
        <v>89</v>
      </c>
      <c r="AZ3" s="3" t="s">
        <v>73</v>
      </c>
      <c r="BB3" s="3" t="s">
        <v>90</v>
      </c>
      <c r="BC3" s="3" t="s">
        <v>91</v>
      </c>
      <c r="BD3" s="3" t="s">
        <v>92</v>
      </c>
    </row>
    <row r="4" spans="1:56" ht="45" customHeight="1" x14ac:dyDescent="0.25">
      <c r="A4" s="8" t="s">
        <v>58</v>
      </c>
      <c r="B4" s="2" t="s">
        <v>93</v>
      </c>
      <c r="C4" s="2" t="s">
        <v>94</v>
      </c>
      <c r="D4" s="2" t="s">
        <v>95</v>
      </c>
      <c r="F4" s="3" t="s">
        <v>58</v>
      </c>
      <c r="G4" s="3" t="s">
        <v>59</v>
      </c>
      <c r="H4" s="3" t="s">
        <v>58</v>
      </c>
      <c r="I4" s="3" t="s">
        <v>58</v>
      </c>
      <c r="J4" s="3" t="s">
        <v>60</v>
      </c>
      <c r="K4" s="2" t="s">
        <v>96</v>
      </c>
      <c r="L4" s="2" t="s">
        <v>97</v>
      </c>
      <c r="M4" s="3" t="s">
        <v>98</v>
      </c>
      <c r="O4" s="3" t="s">
        <v>64</v>
      </c>
      <c r="P4" s="3" t="s">
        <v>99</v>
      </c>
      <c r="R4" s="3" t="s">
        <v>66</v>
      </c>
      <c r="S4" s="4">
        <v>2</v>
      </c>
      <c r="T4" s="4">
        <v>2</v>
      </c>
      <c r="U4" s="5" t="s">
        <v>100</v>
      </c>
      <c r="V4" s="5" t="s">
        <v>100</v>
      </c>
      <c r="W4" s="5" t="s">
        <v>101</v>
      </c>
      <c r="X4" s="5" t="s">
        <v>101</v>
      </c>
      <c r="Y4" s="4">
        <v>336</v>
      </c>
      <c r="Z4" s="4">
        <v>282</v>
      </c>
      <c r="AA4" s="4">
        <v>285</v>
      </c>
      <c r="AB4" s="4">
        <v>2</v>
      </c>
      <c r="AC4" s="4">
        <v>2</v>
      </c>
      <c r="AD4" s="4">
        <v>7</v>
      </c>
      <c r="AE4" s="4">
        <v>7</v>
      </c>
      <c r="AF4" s="4">
        <v>2</v>
      </c>
      <c r="AG4" s="4">
        <v>2</v>
      </c>
      <c r="AH4" s="4">
        <v>0</v>
      </c>
      <c r="AI4" s="4">
        <v>0</v>
      </c>
      <c r="AJ4" s="4">
        <v>5</v>
      </c>
      <c r="AK4" s="4">
        <v>5</v>
      </c>
      <c r="AL4" s="4">
        <v>1</v>
      </c>
      <c r="AM4" s="4">
        <v>1</v>
      </c>
      <c r="AN4" s="4">
        <v>0</v>
      </c>
      <c r="AO4" s="4">
        <v>0</v>
      </c>
      <c r="AP4" s="3" t="s">
        <v>58</v>
      </c>
      <c r="AQ4" s="3" t="s">
        <v>68</v>
      </c>
      <c r="AR4" s="6" t="str">
        <f>HYPERLINK("http://catalog.hathitrust.org/Record/001570270","HathiTrust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HYPERLINK("https://creighton-primo.hosted.exlibrisgroup.com/primo-explore/search?tab=default_tab&amp;search_scope=EVERYTHING&amp;vid=01CRU&amp;lang=en_US&amp;offset=0&amp;query=any,contains,991000805049702656","Catalog Record")</f>
        <v>Catalog Record</v>
      </c>
      <c r="AT4" s="6" t="str">
        <f>HYPERLINK("http://www.worldcat.org/oclc/140360","WorldCat Record")</f>
        <v>WorldCat Record</v>
      </c>
      <c r="AU4" s="3" t="s">
        <v>102</v>
      </c>
      <c r="AV4" s="3" t="s">
        <v>103</v>
      </c>
      <c r="AW4" s="3" t="s">
        <v>104</v>
      </c>
      <c r="AX4" s="3" t="s">
        <v>104</v>
      </c>
      <c r="AY4" s="3" t="s">
        <v>105</v>
      </c>
      <c r="AZ4" s="3" t="s">
        <v>73</v>
      </c>
      <c r="BC4" s="3" t="s">
        <v>106</v>
      </c>
      <c r="BD4" s="3" t="s">
        <v>107</v>
      </c>
    </row>
    <row r="5" spans="1:56" ht="45" customHeight="1" x14ac:dyDescent="0.25">
      <c r="A5" s="8" t="s">
        <v>58</v>
      </c>
      <c r="B5" s="2" t="s">
        <v>108</v>
      </c>
      <c r="C5" s="2" t="s">
        <v>109</v>
      </c>
      <c r="D5" s="2" t="s">
        <v>110</v>
      </c>
      <c r="F5" s="3" t="s">
        <v>58</v>
      </c>
      <c r="G5" s="3" t="s">
        <v>59</v>
      </c>
      <c r="H5" s="3" t="s">
        <v>58</v>
      </c>
      <c r="I5" s="3" t="s">
        <v>58</v>
      </c>
      <c r="J5" s="3" t="s">
        <v>60</v>
      </c>
      <c r="K5" s="2" t="s">
        <v>111</v>
      </c>
      <c r="L5" s="2" t="s">
        <v>112</v>
      </c>
      <c r="M5" s="3" t="s">
        <v>113</v>
      </c>
      <c r="O5" s="3" t="s">
        <v>64</v>
      </c>
      <c r="P5" s="3" t="s">
        <v>114</v>
      </c>
      <c r="R5" s="3" t="s">
        <v>66</v>
      </c>
      <c r="S5" s="4">
        <v>7</v>
      </c>
      <c r="T5" s="4">
        <v>7</v>
      </c>
      <c r="U5" s="5" t="s">
        <v>115</v>
      </c>
      <c r="V5" s="5" t="s">
        <v>115</v>
      </c>
      <c r="W5" s="5" t="s">
        <v>116</v>
      </c>
      <c r="X5" s="5" t="s">
        <v>116</v>
      </c>
      <c r="Y5" s="4">
        <v>99</v>
      </c>
      <c r="Z5" s="4">
        <v>23</v>
      </c>
      <c r="AA5" s="4">
        <v>437</v>
      </c>
      <c r="AB5" s="4">
        <v>2</v>
      </c>
      <c r="AC5" s="4">
        <v>4</v>
      </c>
      <c r="AD5" s="4">
        <v>1</v>
      </c>
      <c r="AE5" s="4">
        <v>8</v>
      </c>
      <c r="AF5" s="4">
        <v>0</v>
      </c>
      <c r="AG5" s="4">
        <v>3</v>
      </c>
      <c r="AH5" s="4">
        <v>0</v>
      </c>
      <c r="AI5" s="4">
        <v>1</v>
      </c>
      <c r="AJ5" s="4">
        <v>0</v>
      </c>
      <c r="AK5" s="4">
        <v>3</v>
      </c>
      <c r="AL5" s="4">
        <v>1</v>
      </c>
      <c r="AM5" s="4">
        <v>3</v>
      </c>
      <c r="AN5" s="4">
        <v>0</v>
      </c>
      <c r="AO5" s="4">
        <v>0</v>
      </c>
      <c r="AP5" s="3" t="s">
        <v>58</v>
      </c>
      <c r="AQ5" s="3" t="s">
        <v>68</v>
      </c>
      <c r="AR5" s="6" t="str">
        <f>HYPERLINK("http://catalog.hathitrust.org/Record/004132290","HathiTrust Record")</f>
        <v>HathiTrust Record</v>
      </c>
      <c r="AS5" s="6" t="str">
        <f>HYPERLINK("https://creighton-primo.hosted.exlibrisgroup.com/primo-explore/search?tab=default_tab&amp;search_scope=EVERYTHING&amp;vid=01CRU&amp;lang=en_US&amp;offset=0&amp;query=any,contains,991003570729702656","Catalog Record")</f>
        <v>Catalog Record</v>
      </c>
      <c r="AT5" s="6" t="str">
        <f>HYPERLINK("http://www.worldcat.org/oclc/46518298","WorldCat Record")</f>
        <v>WorldCat Record</v>
      </c>
      <c r="AU5" s="3" t="s">
        <v>117</v>
      </c>
      <c r="AV5" s="3" t="s">
        <v>118</v>
      </c>
      <c r="AW5" s="3" t="s">
        <v>119</v>
      </c>
      <c r="AX5" s="3" t="s">
        <v>119</v>
      </c>
      <c r="AY5" s="3" t="s">
        <v>120</v>
      </c>
      <c r="AZ5" s="3" t="s">
        <v>73</v>
      </c>
      <c r="BB5" s="3" t="s">
        <v>121</v>
      </c>
      <c r="BC5" s="3" t="s">
        <v>122</v>
      </c>
      <c r="BD5" s="3" t="s">
        <v>123</v>
      </c>
    </row>
    <row r="6" spans="1:56" ht="45" customHeight="1" x14ac:dyDescent="0.25">
      <c r="A6" s="8" t="s">
        <v>58</v>
      </c>
      <c r="B6" s="2" t="s">
        <v>124</v>
      </c>
      <c r="C6" s="2" t="s">
        <v>125</v>
      </c>
      <c r="D6" s="2" t="s">
        <v>126</v>
      </c>
      <c r="F6" s="3" t="s">
        <v>58</v>
      </c>
      <c r="G6" s="3" t="s">
        <v>59</v>
      </c>
      <c r="H6" s="3" t="s">
        <v>58</v>
      </c>
      <c r="I6" s="3" t="s">
        <v>58</v>
      </c>
      <c r="J6" s="3" t="s">
        <v>60</v>
      </c>
      <c r="K6" s="2" t="s">
        <v>127</v>
      </c>
      <c r="L6" s="2" t="s">
        <v>128</v>
      </c>
      <c r="M6" s="3" t="s">
        <v>129</v>
      </c>
      <c r="O6" s="3" t="s">
        <v>64</v>
      </c>
      <c r="P6" s="3" t="s">
        <v>130</v>
      </c>
      <c r="Q6" s="2" t="s">
        <v>131</v>
      </c>
      <c r="R6" s="3" t="s">
        <v>66</v>
      </c>
      <c r="S6" s="4">
        <v>7</v>
      </c>
      <c r="T6" s="4">
        <v>7</v>
      </c>
      <c r="U6" s="5" t="s">
        <v>132</v>
      </c>
      <c r="V6" s="5" t="s">
        <v>132</v>
      </c>
      <c r="W6" s="5" t="s">
        <v>133</v>
      </c>
      <c r="X6" s="5" t="s">
        <v>133</v>
      </c>
      <c r="Y6" s="4">
        <v>418</v>
      </c>
      <c r="Z6" s="4">
        <v>347</v>
      </c>
      <c r="AA6" s="4">
        <v>353</v>
      </c>
      <c r="AB6" s="4">
        <v>3</v>
      </c>
      <c r="AC6" s="4">
        <v>3</v>
      </c>
      <c r="AD6" s="4">
        <v>10</v>
      </c>
      <c r="AE6" s="4">
        <v>10</v>
      </c>
      <c r="AF6" s="4">
        <v>2</v>
      </c>
      <c r="AG6" s="4">
        <v>2</v>
      </c>
      <c r="AH6" s="4">
        <v>4</v>
      </c>
      <c r="AI6" s="4">
        <v>4</v>
      </c>
      <c r="AJ6" s="4">
        <v>3</v>
      </c>
      <c r="AK6" s="4">
        <v>3</v>
      </c>
      <c r="AL6" s="4">
        <v>2</v>
      </c>
      <c r="AM6" s="4">
        <v>2</v>
      </c>
      <c r="AN6" s="4">
        <v>0</v>
      </c>
      <c r="AO6" s="4">
        <v>0</v>
      </c>
      <c r="AP6" s="3" t="s">
        <v>58</v>
      </c>
      <c r="AQ6" s="3" t="s">
        <v>58</v>
      </c>
      <c r="AS6" s="6" t="str">
        <f>HYPERLINK("https://creighton-primo.hosted.exlibrisgroup.com/primo-explore/search?tab=default_tab&amp;search_scope=EVERYTHING&amp;vid=01CRU&amp;lang=en_US&amp;offset=0&amp;query=any,contains,991003940589702656","Catalog Record")</f>
        <v>Catalog Record</v>
      </c>
      <c r="AT6" s="6" t="str">
        <f>HYPERLINK("http://www.worldcat.org/oclc/1929317","WorldCat Record")</f>
        <v>WorldCat Record</v>
      </c>
      <c r="AU6" s="3" t="s">
        <v>134</v>
      </c>
      <c r="AV6" s="3" t="s">
        <v>135</v>
      </c>
      <c r="AW6" s="3" t="s">
        <v>136</v>
      </c>
      <c r="AX6" s="3" t="s">
        <v>136</v>
      </c>
      <c r="AY6" s="3" t="s">
        <v>137</v>
      </c>
      <c r="AZ6" s="3" t="s">
        <v>73</v>
      </c>
      <c r="BB6" s="3" t="s">
        <v>138</v>
      </c>
      <c r="BC6" s="3" t="s">
        <v>139</v>
      </c>
      <c r="BD6" s="3" t="s">
        <v>140</v>
      </c>
    </row>
    <row r="7" spans="1:56" ht="45" customHeight="1" x14ac:dyDescent="0.25">
      <c r="A7" s="8" t="s">
        <v>58</v>
      </c>
      <c r="B7" s="2" t="s">
        <v>141</v>
      </c>
      <c r="C7" s="2" t="s">
        <v>142</v>
      </c>
      <c r="D7" s="2" t="s">
        <v>143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K7" s="2" t="s">
        <v>144</v>
      </c>
      <c r="L7" s="2" t="s">
        <v>145</v>
      </c>
      <c r="M7" s="3" t="s">
        <v>146</v>
      </c>
      <c r="O7" s="3" t="s">
        <v>64</v>
      </c>
      <c r="P7" s="3" t="s">
        <v>147</v>
      </c>
      <c r="R7" s="3" t="s">
        <v>66</v>
      </c>
      <c r="S7" s="4">
        <v>1</v>
      </c>
      <c r="T7" s="4">
        <v>1</v>
      </c>
      <c r="U7" s="5" t="s">
        <v>148</v>
      </c>
      <c r="V7" s="5" t="s">
        <v>148</v>
      </c>
      <c r="W7" s="5" t="s">
        <v>149</v>
      </c>
      <c r="X7" s="5" t="s">
        <v>149</v>
      </c>
      <c r="Y7" s="4">
        <v>39</v>
      </c>
      <c r="Z7" s="4">
        <v>39</v>
      </c>
      <c r="AA7" s="4">
        <v>39</v>
      </c>
      <c r="AB7" s="4">
        <v>1</v>
      </c>
      <c r="AC7" s="4">
        <v>1</v>
      </c>
      <c r="AD7" s="4">
        <v>2</v>
      </c>
      <c r="AE7" s="4">
        <v>2</v>
      </c>
      <c r="AF7" s="4">
        <v>0</v>
      </c>
      <c r="AG7" s="4">
        <v>0</v>
      </c>
      <c r="AH7" s="4">
        <v>0</v>
      </c>
      <c r="AI7" s="4">
        <v>0</v>
      </c>
      <c r="AJ7" s="4">
        <v>2</v>
      </c>
      <c r="AK7" s="4">
        <v>2</v>
      </c>
      <c r="AL7" s="4">
        <v>0</v>
      </c>
      <c r="AM7" s="4">
        <v>0</v>
      </c>
      <c r="AN7" s="4">
        <v>0</v>
      </c>
      <c r="AO7" s="4">
        <v>0</v>
      </c>
      <c r="AP7" s="3" t="s">
        <v>58</v>
      </c>
      <c r="AQ7" s="3" t="s">
        <v>58</v>
      </c>
      <c r="AS7" s="6" t="str">
        <f>HYPERLINK("https://creighton-primo.hosted.exlibrisgroup.com/primo-explore/search?tab=default_tab&amp;search_scope=EVERYTHING&amp;vid=01CRU&amp;lang=en_US&amp;offset=0&amp;query=any,contains,991002893439702656","Catalog Record")</f>
        <v>Catalog Record</v>
      </c>
      <c r="AT7" s="6" t="str">
        <f>HYPERLINK("http://www.worldcat.org/oclc/38121151","WorldCat Record")</f>
        <v>WorldCat Record</v>
      </c>
      <c r="AU7" s="3" t="s">
        <v>150</v>
      </c>
      <c r="AV7" s="3" t="s">
        <v>151</v>
      </c>
      <c r="AW7" s="3" t="s">
        <v>152</v>
      </c>
      <c r="AX7" s="3" t="s">
        <v>152</v>
      </c>
      <c r="AY7" s="3" t="s">
        <v>153</v>
      </c>
      <c r="AZ7" s="3" t="s">
        <v>73</v>
      </c>
      <c r="BC7" s="3" t="s">
        <v>154</v>
      </c>
      <c r="BD7" s="3" t="s">
        <v>155</v>
      </c>
    </row>
    <row r="8" spans="1:56" ht="45" customHeight="1" x14ac:dyDescent="0.25">
      <c r="A8" s="8" t="s">
        <v>58</v>
      </c>
      <c r="B8" s="2" t="s">
        <v>156</v>
      </c>
      <c r="C8" s="2" t="s">
        <v>157</v>
      </c>
      <c r="D8" s="2" t="s">
        <v>158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60</v>
      </c>
      <c r="K8" s="2" t="s">
        <v>159</v>
      </c>
      <c r="L8" s="2" t="s">
        <v>160</v>
      </c>
      <c r="M8" s="3" t="s">
        <v>161</v>
      </c>
      <c r="O8" s="3" t="s">
        <v>64</v>
      </c>
      <c r="P8" s="3" t="s">
        <v>162</v>
      </c>
      <c r="R8" s="3" t="s">
        <v>66</v>
      </c>
      <c r="S8" s="4">
        <v>4</v>
      </c>
      <c r="T8" s="4">
        <v>4</v>
      </c>
      <c r="U8" s="5" t="s">
        <v>148</v>
      </c>
      <c r="V8" s="5" t="s">
        <v>148</v>
      </c>
      <c r="W8" s="5" t="s">
        <v>163</v>
      </c>
      <c r="X8" s="5" t="s">
        <v>163</v>
      </c>
      <c r="Y8" s="4">
        <v>25</v>
      </c>
      <c r="Z8" s="4">
        <v>25</v>
      </c>
      <c r="AA8" s="4">
        <v>26</v>
      </c>
      <c r="AB8" s="4">
        <v>2</v>
      </c>
      <c r="AC8" s="4">
        <v>2</v>
      </c>
      <c r="AD8" s="4">
        <v>1</v>
      </c>
      <c r="AE8" s="4">
        <v>1</v>
      </c>
      <c r="AF8" s="4">
        <v>0</v>
      </c>
      <c r="AG8" s="4">
        <v>0</v>
      </c>
      <c r="AH8" s="4">
        <v>0</v>
      </c>
      <c r="AI8" s="4">
        <v>0</v>
      </c>
      <c r="AJ8" s="4">
        <v>1</v>
      </c>
      <c r="AK8" s="4">
        <v>1</v>
      </c>
      <c r="AL8" s="4">
        <v>0</v>
      </c>
      <c r="AM8" s="4">
        <v>0</v>
      </c>
      <c r="AN8" s="4">
        <v>0</v>
      </c>
      <c r="AO8" s="4">
        <v>0</v>
      </c>
      <c r="AP8" s="3" t="s">
        <v>58</v>
      </c>
      <c r="AQ8" s="3" t="s">
        <v>68</v>
      </c>
      <c r="AR8" s="6" t="str">
        <f>HYPERLINK("http://catalog.hathitrust.org/Record/004173108","HathiTrust Record")</f>
        <v>HathiTrust Record</v>
      </c>
      <c r="AS8" s="6" t="str">
        <f>HYPERLINK("https://creighton-primo.hosted.exlibrisgroup.com/primo-explore/search?tab=default_tab&amp;search_scope=EVERYTHING&amp;vid=01CRU&amp;lang=en_US&amp;offset=0&amp;query=any,contains,991003243609702656","Catalog Record")</f>
        <v>Catalog Record</v>
      </c>
      <c r="AT8" s="6" t="str">
        <f>HYPERLINK("http://www.worldcat.org/oclc/43440771","WorldCat Record")</f>
        <v>WorldCat Record</v>
      </c>
      <c r="AU8" s="3" t="s">
        <v>164</v>
      </c>
      <c r="AV8" s="3" t="s">
        <v>165</v>
      </c>
      <c r="AW8" s="3" t="s">
        <v>166</v>
      </c>
      <c r="AX8" s="3" t="s">
        <v>166</v>
      </c>
      <c r="AY8" s="3" t="s">
        <v>167</v>
      </c>
      <c r="AZ8" s="3" t="s">
        <v>73</v>
      </c>
      <c r="BB8" s="3" t="s">
        <v>168</v>
      </c>
      <c r="BC8" s="3" t="s">
        <v>169</v>
      </c>
      <c r="BD8" s="3" t="s">
        <v>170</v>
      </c>
    </row>
    <row r="9" spans="1:56" ht="45" customHeight="1" x14ac:dyDescent="0.25">
      <c r="A9" s="8" t="s">
        <v>58</v>
      </c>
      <c r="B9" s="2" t="s">
        <v>171</v>
      </c>
      <c r="C9" s="2" t="s">
        <v>172</v>
      </c>
      <c r="D9" s="2" t="s">
        <v>173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174</v>
      </c>
      <c r="L9" s="2" t="s">
        <v>175</v>
      </c>
      <c r="M9" s="3" t="s">
        <v>176</v>
      </c>
      <c r="O9" s="3" t="s">
        <v>64</v>
      </c>
      <c r="P9" s="3" t="s">
        <v>177</v>
      </c>
      <c r="Q9" s="2" t="s">
        <v>178</v>
      </c>
      <c r="R9" s="3" t="s">
        <v>66</v>
      </c>
      <c r="S9" s="4">
        <v>4</v>
      </c>
      <c r="T9" s="4">
        <v>4</v>
      </c>
      <c r="U9" s="5" t="s">
        <v>148</v>
      </c>
      <c r="V9" s="5" t="s">
        <v>148</v>
      </c>
      <c r="W9" s="5" t="s">
        <v>179</v>
      </c>
      <c r="X9" s="5" t="s">
        <v>179</v>
      </c>
      <c r="Y9" s="4">
        <v>639</v>
      </c>
      <c r="Z9" s="4">
        <v>606</v>
      </c>
      <c r="AA9" s="4">
        <v>607</v>
      </c>
      <c r="AB9" s="4">
        <v>6</v>
      </c>
      <c r="AC9" s="4">
        <v>6</v>
      </c>
      <c r="AD9" s="4">
        <v>26</v>
      </c>
      <c r="AE9" s="4">
        <v>26</v>
      </c>
      <c r="AF9" s="4">
        <v>9</v>
      </c>
      <c r="AG9" s="4">
        <v>9</v>
      </c>
      <c r="AH9" s="4">
        <v>3</v>
      </c>
      <c r="AI9" s="4">
        <v>3</v>
      </c>
      <c r="AJ9" s="4">
        <v>13</v>
      </c>
      <c r="AK9" s="4">
        <v>13</v>
      </c>
      <c r="AL9" s="4">
        <v>5</v>
      </c>
      <c r="AM9" s="4">
        <v>5</v>
      </c>
      <c r="AN9" s="4">
        <v>0</v>
      </c>
      <c r="AO9" s="4">
        <v>0</v>
      </c>
      <c r="AP9" s="3" t="s">
        <v>58</v>
      </c>
      <c r="AQ9" s="3" t="s">
        <v>68</v>
      </c>
      <c r="AR9" s="6" t="str">
        <f>HYPERLINK("http://catalog.hathitrust.org/Record/004549247","HathiTrust Record")</f>
        <v>HathiTrust Record</v>
      </c>
      <c r="AS9" s="6" t="str">
        <f>HYPERLINK("https://creighton-primo.hosted.exlibrisgroup.com/primo-explore/search?tab=default_tab&amp;search_scope=EVERYTHING&amp;vid=01CRU&amp;lang=en_US&amp;offset=0&amp;query=any,contains,991002142469702656","Catalog Record")</f>
        <v>Catalog Record</v>
      </c>
      <c r="AT9" s="6" t="str">
        <f>HYPERLINK("http://www.worldcat.org/oclc/27435126","WorldCat Record")</f>
        <v>WorldCat Record</v>
      </c>
      <c r="AU9" s="3" t="s">
        <v>180</v>
      </c>
      <c r="AV9" s="3" t="s">
        <v>181</v>
      </c>
      <c r="AW9" s="3" t="s">
        <v>182</v>
      </c>
      <c r="AX9" s="3" t="s">
        <v>182</v>
      </c>
      <c r="AY9" s="3" t="s">
        <v>183</v>
      </c>
      <c r="AZ9" s="3" t="s">
        <v>73</v>
      </c>
      <c r="BB9" s="3" t="s">
        <v>184</v>
      </c>
      <c r="BC9" s="3" t="s">
        <v>185</v>
      </c>
      <c r="BD9" s="3" t="s">
        <v>186</v>
      </c>
    </row>
    <row r="10" spans="1:56" ht="45" customHeight="1" x14ac:dyDescent="0.25">
      <c r="A10" s="8" t="s">
        <v>58</v>
      </c>
      <c r="B10" s="2" t="s">
        <v>187</v>
      </c>
      <c r="C10" s="2" t="s">
        <v>188</v>
      </c>
      <c r="D10" s="2" t="s">
        <v>189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60</v>
      </c>
      <c r="L10" s="2" t="s">
        <v>190</v>
      </c>
      <c r="M10" s="3" t="s">
        <v>146</v>
      </c>
      <c r="O10" s="3" t="s">
        <v>64</v>
      </c>
      <c r="P10" s="3" t="s">
        <v>191</v>
      </c>
      <c r="R10" s="3" t="s">
        <v>66</v>
      </c>
      <c r="S10" s="4">
        <v>2</v>
      </c>
      <c r="T10" s="4">
        <v>2</v>
      </c>
      <c r="U10" s="5" t="s">
        <v>192</v>
      </c>
      <c r="V10" s="5" t="s">
        <v>192</v>
      </c>
      <c r="W10" s="5" t="s">
        <v>193</v>
      </c>
      <c r="X10" s="5" t="s">
        <v>193</v>
      </c>
      <c r="Y10" s="4">
        <v>360</v>
      </c>
      <c r="Z10" s="4">
        <v>319</v>
      </c>
      <c r="AA10" s="4">
        <v>514</v>
      </c>
      <c r="AB10" s="4">
        <v>2</v>
      </c>
      <c r="AC10" s="4">
        <v>3</v>
      </c>
      <c r="AD10" s="4">
        <v>15</v>
      </c>
      <c r="AE10" s="4">
        <v>23</v>
      </c>
      <c r="AF10" s="4">
        <v>6</v>
      </c>
      <c r="AG10" s="4">
        <v>8</v>
      </c>
      <c r="AH10" s="4">
        <v>3</v>
      </c>
      <c r="AI10" s="4">
        <v>6</v>
      </c>
      <c r="AJ10" s="4">
        <v>9</v>
      </c>
      <c r="AK10" s="4">
        <v>12</v>
      </c>
      <c r="AL10" s="4">
        <v>1</v>
      </c>
      <c r="AM10" s="4">
        <v>2</v>
      </c>
      <c r="AN10" s="4">
        <v>0</v>
      </c>
      <c r="AO10" s="4">
        <v>0</v>
      </c>
      <c r="AP10" s="3" t="s">
        <v>58</v>
      </c>
      <c r="AQ10" s="3" t="s">
        <v>68</v>
      </c>
      <c r="AR10" s="6" t="str">
        <f>HYPERLINK("http://catalog.hathitrust.org/Record/004538281","HathiTrust Record")</f>
        <v>HathiTrust Record</v>
      </c>
      <c r="AS10" s="6" t="str">
        <f>HYPERLINK("https://creighton-primo.hosted.exlibrisgroup.com/primo-explore/search?tab=default_tab&amp;search_scope=EVERYTHING&amp;vid=01CRU&amp;lang=en_US&amp;offset=0&amp;query=any,contains,991003726379702656","Catalog Record")</f>
        <v>Catalog Record</v>
      </c>
      <c r="AT10" s="6" t="str">
        <f>HYPERLINK("http://www.worldcat.org/oclc/35878488","WorldCat Record")</f>
        <v>WorldCat Record</v>
      </c>
      <c r="AU10" s="3" t="s">
        <v>194</v>
      </c>
      <c r="AV10" s="3" t="s">
        <v>195</v>
      </c>
      <c r="AW10" s="3" t="s">
        <v>196</v>
      </c>
      <c r="AX10" s="3" t="s">
        <v>196</v>
      </c>
      <c r="AY10" s="3" t="s">
        <v>197</v>
      </c>
      <c r="AZ10" s="3" t="s">
        <v>73</v>
      </c>
      <c r="BB10" s="3" t="s">
        <v>198</v>
      </c>
      <c r="BC10" s="3" t="s">
        <v>199</v>
      </c>
      <c r="BD10" s="3" t="s">
        <v>200</v>
      </c>
    </row>
    <row r="11" spans="1:56" ht="45" customHeight="1" x14ac:dyDescent="0.25">
      <c r="A11" s="8" t="s">
        <v>58</v>
      </c>
      <c r="B11" s="2" t="s">
        <v>201</v>
      </c>
      <c r="C11" s="2" t="s">
        <v>202</v>
      </c>
      <c r="D11" s="2" t="s">
        <v>203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60</v>
      </c>
      <c r="K11" s="2" t="s">
        <v>204</v>
      </c>
      <c r="L11" s="2" t="s">
        <v>205</v>
      </c>
      <c r="M11" s="3" t="s">
        <v>161</v>
      </c>
      <c r="O11" s="3" t="s">
        <v>64</v>
      </c>
      <c r="P11" s="3" t="s">
        <v>206</v>
      </c>
      <c r="R11" s="3" t="s">
        <v>66</v>
      </c>
      <c r="S11" s="4">
        <v>1</v>
      </c>
      <c r="T11" s="4">
        <v>1</v>
      </c>
      <c r="U11" s="5" t="s">
        <v>207</v>
      </c>
      <c r="V11" s="5" t="s">
        <v>207</v>
      </c>
      <c r="W11" s="5" t="s">
        <v>207</v>
      </c>
      <c r="X11" s="5" t="s">
        <v>207</v>
      </c>
      <c r="Y11" s="4">
        <v>7</v>
      </c>
      <c r="Z11" s="4">
        <v>7</v>
      </c>
      <c r="AA11" s="4">
        <v>7</v>
      </c>
      <c r="AB11" s="4">
        <v>1</v>
      </c>
      <c r="AC11" s="4">
        <v>1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3" t="s">
        <v>58</v>
      </c>
      <c r="AQ11" s="3" t="s">
        <v>58</v>
      </c>
      <c r="AS11" s="6" t="str">
        <f>HYPERLINK("https://creighton-primo.hosted.exlibrisgroup.com/primo-explore/search?tab=default_tab&amp;search_scope=EVERYTHING&amp;vid=01CRU&amp;lang=en_US&amp;offset=0&amp;query=any,contains,991003301739702656","Catalog Record")</f>
        <v>Catalog Record</v>
      </c>
      <c r="AT11" s="6" t="str">
        <f>HYPERLINK("http://www.worldcat.org/oclc/42442960","WorldCat Record")</f>
        <v>WorldCat Record</v>
      </c>
      <c r="AU11" s="3" t="s">
        <v>208</v>
      </c>
      <c r="AV11" s="3" t="s">
        <v>209</v>
      </c>
      <c r="AW11" s="3" t="s">
        <v>210</v>
      </c>
      <c r="AX11" s="3" t="s">
        <v>210</v>
      </c>
      <c r="AY11" s="3" t="s">
        <v>211</v>
      </c>
      <c r="AZ11" s="3" t="s">
        <v>73</v>
      </c>
      <c r="BC11" s="3" t="s">
        <v>212</v>
      </c>
      <c r="BD11" s="3" t="s">
        <v>213</v>
      </c>
    </row>
    <row r="12" spans="1:56" ht="45" customHeight="1" x14ac:dyDescent="0.25">
      <c r="A12" s="8" t="s">
        <v>58</v>
      </c>
      <c r="B12" s="2" t="s">
        <v>214</v>
      </c>
      <c r="C12" s="2" t="s">
        <v>215</v>
      </c>
      <c r="D12" s="2" t="s">
        <v>216</v>
      </c>
      <c r="F12" s="3" t="s">
        <v>58</v>
      </c>
      <c r="G12" s="3" t="s">
        <v>59</v>
      </c>
      <c r="H12" s="3" t="s">
        <v>58</v>
      </c>
      <c r="I12" s="3" t="s">
        <v>58</v>
      </c>
      <c r="J12" s="3" t="s">
        <v>60</v>
      </c>
      <c r="K12" s="2" t="s">
        <v>217</v>
      </c>
      <c r="L12" s="2" t="s">
        <v>218</v>
      </c>
      <c r="M12" s="3" t="s">
        <v>219</v>
      </c>
      <c r="O12" s="3" t="s">
        <v>64</v>
      </c>
      <c r="P12" s="3" t="s">
        <v>147</v>
      </c>
      <c r="Q12" s="2" t="s">
        <v>220</v>
      </c>
      <c r="R12" s="3" t="s">
        <v>66</v>
      </c>
      <c r="S12" s="4">
        <v>15</v>
      </c>
      <c r="T12" s="4">
        <v>15</v>
      </c>
      <c r="U12" s="5" t="s">
        <v>221</v>
      </c>
      <c r="V12" s="5" t="s">
        <v>221</v>
      </c>
      <c r="W12" s="5" t="s">
        <v>222</v>
      </c>
      <c r="X12" s="5" t="s">
        <v>222</v>
      </c>
      <c r="Y12" s="4">
        <v>396</v>
      </c>
      <c r="Z12" s="4">
        <v>364</v>
      </c>
      <c r="AA12" s="4">
        <v>371</v>
      </c>
      <c r="AB12" s="4">
        <v>4</v>
      </c>
      <c r="AC12" s="4">
        <v>4</v>
      </c>
      <c r="AD12" s="4">
        <v>19</v>
      </c>
      <c r="AE12" s="4">
        <v>19</v>
      </c>
      <c r="AF12" s="4">
        <v>3</v>
      </c>
      <c r="AG12" s="4">
        <v>3</v>
      </c>
      <c r="AH12" s="4">
        <v>5</v>
      </c>
      <c r="AI12" s="4">
        <v>5</v>
      </c>
      <c r="AJ12" s="4">
        <v>8</v>
      </c>
      <c r="AK12" s="4">
        <v>8</v>
      </c>
      <c r="AL12" s="4">
        <v>3</v>
      </c>
      <c r="AM12" s="4">
        <v>3</v>
      </c>
      <c r="AN12" s="4">
        <v>3</v>
      </c>
      <c r="AO12" s="4">
        <v>3</v>
      </c>
      <c r="AP12" s="3" t="s">
        <v>58</v>
      </c>
      <c r="AQ12" s="3" t="s">
        <v>68</v>
      </c>
      <c r="AR12" s="6" t="str">
        <f>HYPERLINK("http://catalog.hathitrust.org/Record/002513051","HathiTrust Record")</f>
        <v>HathiTrust Record</v>
      </c>
      <c r="AS12" s="6" t="str">
        <f>HYPERLINK("https://creighton-primo.hosted.exlibrisgroup.com/primo-explore/search?tab=default_tab&amp;search_scope=EVERYTHING&amp;vid=01CRU&amp;lang=en_US&amp;offset=0&amp;query=any,contains,991001964039702656","Catalog Record")</f>
        <v>Catalog Record</v>
      </c>
      <c r="AT12" s="6" t="str">
        <f>HYPERLINK("http://www.worldcat.org/oclc/24878348","WorldCat Record")</f>
        <v>WorldCat Record</v>
      </c>
      <c r="AU12" s="3" t="s">
        <v>223</v>
      </c>
      <c r="AV12" s="3" t="s">
        <v>224</v>
      </c>
      <c r="AW12" s="3" t="s">
        <v>225</v>
      </c>
      <c r="AX12" s="3" t="s">
        <v>225</v>
      </c>
      <c r="AY12" s="3" t="s">
        <v>226</v>
      </c>
      <c r="AZ12" s="3" t="s">
        <v>73</v>
      </c>
      <c r="BB12" s="3" t="s">
        <v>227</v>
      </c>
      <c r="BC12" s="3" t="s">
        <v>228</v>
      </c>
      <c r="BD12" s="3" t="s">
        <v>229</v>
      </c>
    </row>
    <row r="13" spans="1:56" ht="45" customHeight="1" x14ac:dyDescent="0.25">
      <c r="A13" s="8" t="s">
        <v>58</v>
      </c>
      <c r="B13" s="2" t="s">
        <v>230</v>
      </c>
      <c r="C13" s="2" t="s">
        <v>231</v>
      </c>
      <c r="D13" s="2" t="s">
        <v>232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60</v>
      </c>
      <c r="L13" s="2" t="s">
        <v>233</v>
      </c>
      <c r="M13" s="3" t="s">
        <v>234</v>
      </c>
      <c r="O13" s="3" t="s">
        <v>64</v>
      </c>
      <c r="P13" s="3" t="s">
        <v>177</v>
      </c>
      <c r="R13" s="3" t="s">
        <v>66</v>
      </c>
      <c r="S13" s="4">
        <v>6</v>
      </c>
      <c r="T13" s="4">
        <v>6</v>
      </c>
      <c r="U13" s="5" t="s">
        <v>235</v>
      </c>
      <c r="V13" s="5" t="s">
        <v>235</v>
      </c>
      <c r="W13" s="5" t="s">
        <v>236</v>
      </c>
      <c r="X13" s="5" t="s">
        <v>236</v>
      </c>
      <c r="Y13" s="4">
        <v>526</v>
      </c>
      <c r="Z13" s="4">
        <v>476</v>
      </c>
      <c r="AA13" s="4">
        <v>483</v>
      </c>
      <c r="AB13" s="4">
        <v>6</v>
      </c>
      <c r="AC13" s="4">
        <v>6</v>
      </c>
      <c r="AD13" s="4">
        <v>18</v>
      </c>
      <c r="AE13" s="4">
        <v>18</v>
      </c>
      <c r="AF13" s="4">
        <v>4</v>
      </c>
      <c r="AG13" s="4">
        <v>4</v>
      </c>
      <c r="AH13" s="4">
        <v>1</v>
      </c>
      <c r="AI13" s="4">
        <v>1</v>
      </c>
      <c r="AJ13" s="4">
        <v>8</v>
      </c>
      <c r="AK13" s="4">
        <v>8</v>
      </c>
      <c r="AL13" s="4">
        <v>4</v>
      </c>
      <c r="AM13" s="4">
        <v>4</v>
      </c>
      <c r="AN13" s="4">
        <v>2</v>
      </c>
      <c r="AO13" s="4">
        <v>2</v>
      </c>
      <c r="AP13" s="3" t="s">
        <v>58</v>
      </c>
      <c r="AQ13" s="3" t="s">
        <v>68</v>
      </c>
      <c r="AR13" s="6" t="str">
        <f>HYPERLINK("http://catalog.hathitrust.org/Record/001570280","HathiTrust Record")</f>
        <v>HathiTrust Record</v>
      </c>
      <c r="AS13" s="6" t="str">
        <f>HYPERLINK("https://creighton-primo.hosted.exlibrisgroup.com/primo-explore/search?tab=default_tab&amp;search_scope=EVERYTHING&amp;vid=01CRU&amp;lang=en_US&amp;offset=0&amp;query=any,contains,991003660169702656","Catalog Record")</f>
        <v>Catalog Record</v>
      </c>
      <c r="AT13" s="6" t="str">
        <f>HYPERLINK("http://www.worldcat.org/oclc/1267677","WorldCat Record")</f>
        <v>WorldCat Record</v>
      </c>
      <c r="AU13" s="3" t="s">
        <v>237</v>
      </c>
      <c r="AV13" s="3" t="s">
        <v>238</v>
      </c>
      <c r="AW13" s="3" t="s">
        <v>239</v>
      </c>
      <c r="AX13" s="3" t="s">
        <v>239</v>
      </c>
      <c r="AY13" s="3" t="s">
        <v>240</v>
      </c>
      <c r="AZ13" s="3" t="s">
        <v>73</v>
      </c>
      <c r="BB13" s="3" t="s">
        <v>241</v>
      </c>
      <c r="BC13" s="3" t="s">
        <v>242</v>
      </c>
      <c r="BD13" s="3" t="s">
        <v>243</v>
      </c>
    </row>
    <row r="14" spans="1:56" ht="45" customHeight="1" x14ac:dyDescent="0.25">
      <c r="A14" s="8" t="s">
        <v>58</v>
      </c>
      <c r="B14" s="2" t="s">
        <v>244</v>
      </c>
      <c r="C14" s="2" t="s">
        <v>245</v>
      </c>
      <c r="D14" s="2" t="s">
        <v>246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K14" s="2" t="s">
        <v>247</v>
      </c>
      <c r="L14" s="2" t="s">
        <v>248</v>
      </c>
      <c r="M14" s="3" t="s">
        <v>249</v>
      </c>
      <c r="O14" s="3" t="s">
        <v>64</v>
      </c>
      <c r="P14" s="3" t="s">
        <v>250</v>
      </c>
      <c r="Q14" s="2" t="s">
        <v>251</v>
      </c>
      <c r="R14" s="3" t="s">
        <v>66</v>
      </c>
      <c r="S14" s="4">
        <v>3</v>
      </c>
      <c r="T14" s="4">
        <v>3</v>
      </c>
      <c r="U14" s="5" t="s">
        <v>221</v>
      </c>
      <c r="V14" s="5" t="s">
        <v>221</v>
      </c>
      <c r="W14" s="5" t="s">
        <v>252</v>
      </c>
      <c r="X14" s="5" t="s">
        <v>252</v>
      </c>
      <c r="Y14" s="4">
        <v>243</v>
      </c>
      <c r="Z14" s="4">
        <v>220</v>
      </c>
      <c r="AA14" s="4">
        <v>222</v>
      </c>
      <c r="AB14" s="4">
        <v>3</v>
      </c>
      <c r="AC14" s="4">
        <v>3</v>
      </c>
      <c r="AD14" s="4">
        <v>3</v>
      </c>
      <c r="AE14" s="4">
        <v>3</v>
      </c>
      <c r="AF14" s="4">
        <v>0</v>
      </c>
      <c r="AG14" s="4">
        <v>0</v>
      </c>
      <c r="AH14" s="4">
        <v>1</v>
      </c>
      <c r="AI14" s="4">
        <v>1</v>
      </c>
      <c r="AJ14" s="4">
        <v>1</v>
      </c>
      <c r="AK14" s="4">
        <v>1</v>
      </c>
      <c r="AL14" s="4">
        <v>2</v>
      </c>
      <c r="AM14" s="4">
        <v>2</v>
      </c>
      <c r="AN14" s="4">
        <v>0</v>
      </c>
      <c r="AO14" s="4">
        <v>0</v>
      </c>
      <c r="AP14" s="3" t="s">
        <v>58</v>
      </c>
      <c r="AQ14" s="3" t="s">
        <v>68</v>
      </c>
      <c r="AR14" s="6" t="str">
        <f>HYPERLINK("http://catalog.hathitrust.org/Record/000687164","HathiTrust Record")</f>
        <v>HathiTrust Record</v>
      </c>
      <c r="AS14" s="6" t="str">
        <f>HYPERLINK("https://creighton-primo.hosted.exlibrisgroup.com/primo-explore/search?tab=default_tab&amp;search_scope=EVERYTHING&amp;vid=01CRU&amp;lang=en_US&amp;offset=0&amp;query=any,contains,991004476879702656","Catalog Record")</f>
        <v>Catalog Record</v>
      </c>
      <c r="AT14" s="6" t="str">
        <f>HYPERLINK("http://www.worldcat.org/oclc/3609646","WorldCat Record")</f>
        <v>WorldCat Record</v>
      </c>
      <c r="AU14" s="3" t="s">
        <v>253</v>
      </c>
      <c r="AV14" s="3" t="s">
        <v>254</v>
      </c>
      <c r="AW14" s="3" t="s">
        <v>255</v>
      </c>
      <c r="AX14" s="3" t="s">
        <v>255</v>
      </c>
      <c r="AY14" s="3" t="s">
        <v>256</v>
      </c>
      <c r="AZ14" s="3" t="s">
        <v>73</v>
      </c>
      <c r="BB14" s="3" t="s">
        <v>257</v>
      </c>
      <c r="BC14" s="3" t="s">
        <v>258</v>
      </c>
      <c r="BD14" s="3" t="s">
        <v>259</v>
      </c>
    </row>
    <row r="15" spans="1:56" ht="45" customHeight="1" x14ac:dyDescent="0.25">
      <c r="A15" s="8" t="s">
        <v>58</v>
      </c>
      <c r="B15" s="2" t="s">
        <v>260</v>
      </c>
      <c r="C15" s="2" t="s">
        <v>261</v>
      </c>
      <c r="D15" s="2" t="s">
        <v>262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60</v>
      </c>
      <c r="L15" s="2" t="s">
        <v>263</v>
      </c>
      <c r="M15" s="3" t="s">
        <v>129</v>
      </c>
      <c r="O15" s="3" t="s">
        <v>64</v>
      </c>
      <c r="P15" s="3" t="s">
        <v>177</v>
      </c>
      <c r="Q15" s="2" t="s">
        <v>264</v>
      </c>
      <c r="R15" s="3" t="s">
        <v>66</v>
      </c>
      <c r="S15" s="4">
        <v>2</v>
      </c>
      <c r="T15" s="4">
        <v>2</v>
      </c>
      <c r="U15" s="5" t="s">
        <v>221</v>
      </c>
      <c r="V15" s="5" t="s">
        <v>221</v>
      </c>
      <c r="W15" s="5" t="s">
        <v>236</v>
      </c>
      <c r="X15" s="5" t="s">
        <v>236</v>
      </c>
      <c r="Y15" s="4">
        <v>560</v>
      </c>
      <c r="Z15" s="4">
        <v>480</v>
      </c>
      <c r="AA15" s="4">
        <v>489</v>
      </c>
      <c r="AB15" s="4">
        <v>5</v>
      </c>
      <c r="AC15" s="4">
        <v>5</v>
      </c>
      <c r="AD15" s="4">
        <v>23</v>
      </c>
      <c r="AE15" s="4">
        <v>23</v>
      </c>
      <c r="AF15" s="4">
        <v>5</v>
      </c>
      <c r="AG15" s="4">
        <v>5</v>
      </c>
      <c r="AH15" s="4">
        <v>4</v>
      </c>
      <c r="AI15" s="4">
        <v>4</v>
      </c>
      <c r="AJ15" s="4">
        <v>9</v>
      </c>
      <c r="AK15" s="4">
        <v>9</v>
      </c>
      <c r="AL15" s="4">
        <v>3</v>
      </c>
      <c r="AM15" s="4">
        <v>3</v>
      </c>
      <c r="AN15" s="4">
        <v>6</v>
      </c>
      <c r="AO15" s="4">
        <v>6</v>
      </c>
      <c r="AP15" s="3" t="s">
        <v>58</v>
      </c>
      <c r="AQ15" s="3" t="s">
        <v>68</v>
      </c>
      <c r="AR15" s="6" t="str">
        <f>HYPERLINK("http://catalog.hathitrust.org/Record/000730302","HathiTrust Record")</f>
        <v>HathiTrust Record</v>
      </c>
      <c r="AS15" s="6" t="str">
        <f>HYPERLINK("https://creighton-primo.hosted.exlibrisgroup.com/primo-explore/search?tab=default_tab&amp;search_scope=EVERYTHING&amp;vid=01CRU&amp;lang=en_US&amp;offset=0&amp;query=any,contains,991004136459702656","Catalog Record")</f>
        <v>Catalog Record</v>
      </c>
      <c r="AT15" s="6" t="str">
        <f>HYPERLINK("http://www.worldcat.org/oclc/2487910","WorldCat Record")</f>
        <v>WorldCat Record</v>
      </c>
      <c r="AU15" s="3" t="s">
        <v>265</v>
      </c>
      <c r="AV15" s="3" t="s">
        <v>266</v>
      </c>
      <c r="AW15" s="3" t="s">
        <v>267</v>
      </c>
      <c r="AX15" s="3" t="s">
        <v>267</v>
      </c>
      <c r="AY15" s="3" t="s">
        <v>268</v>
      </c>
      <c r="AZ15" s="3" t="s">
        <v>73</v>
      </c>
      <c r="BB15" s="3" t="s">
        <v>269</v>
      </c>
      <c r="BC15" s="3" t="s">
        <v>270</v>
      </c>
      <c r="BD15" s="3" t="s">
        <v>271</v>
      </c>
    </row>
    <row r="16" spans="1:56" ht="45" customHeight="1" x14ac:dyDescent="0.25">
      <c r="A16" s="8" t="s">
        <v>58</v>
      </c>
      <c r="B16" s="2" t="s">
        <v>272</v>
      </c>
      <c r="C16" s="2" t="s">
        <v>273</v>
      </c>
      <c r="D16" s="2" t="s">
        <v>274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60</v>
      </c>
      <c r="K16" s="2" t="s">
        <v>275</v>
      </c>
      <c r="L16" s="2" t="s">
        <v>276</v>
      </c>
      <c r="M16" s="3" t="s">
        <v>62</v>
      </c>
      <c r="N16" s="2" t="s">
        <v>277</v>
      </c>
      <c r="O16" s="3" t="s">
        <v>64</v>
      </c>
      <c r="P16" s="3" t="s">
        <v>177</v>
      </c>
      <c r="R16" s="3" t="s">
        <v>66</v>
      </c>
      <c r="S16" s="4">
        <v>1</v>
      </c>
      <c r="T16" s="4">
        <v>1</v>
      </c>
      <c r="U16" s="5" t="s">
        <v>278</v>
      </c>
      <c r="V16" s="5" t="s">
        <v>278</v>
      </c>
      <c r="W16" s="5" t="s">
        <v>278</v>
      </c>
      <c r="X16" s="5" t="s">
        <v>278</v>
      </c>
      <c r="Y16" s="4">
        <v>211</v>
      </c>
      <c r="Z16" s="4">
        <v>142</v>
      </c>
      <c r="AA16" s="4">
        <v>682</v>
      </c>
      <c r="AB16" s="4">
        <v>2</v>
      </c>
      <c r="AC16" s="4">
        <v>7</v>
      </c>
      <c r="AD16" s="4">
        <v>4</v>
      </c>
      <c r="AE16" s="4">
        <v>14</v>
      </c>
      <c r="AF16" s="4">
        <v>1</v>
      </c>
      <c r="AG16" s="4">
        <v>5</v>
      </c>
      <c r="AH16" s="4">
        <v>0</v>
      </c>
      <c r="AI16" s="4">
        <v>3</v>
      </c>
      <c r="AJ16" s="4">
        <v>3</v>
      </c>
      <c r="AK16" s="4">
        <v>6</v>
      </c>
      <c r="AL16" s="4">
        <v>1</v>
      </c>
      <c r="AM16" s="4">
        <v>5</v>
      </c>
      <c r="AN16" s="4">
        <v>0</v>
      </c>
      <c r="AO16" s="4">
        <v>0</v>
      </c>
      <c r="AP16" s="3" t="s">
        <v>58</v>
      </c>
      <c r="AQ16" s="3" t="s">
        <v>58</v>
      </c>
      <c r="AS16" s="6" t="str">
        <f>HYPERLINK("https://creighton-primo.hosted.exlibrisgroup.com/primo-explore/search?tab=default_tab&amp;search_scope=EVERYTHING&amp;vid=01CRU&amp;lang=en_US&amp;offset=0&amp;query=any,contains,991005349059702656","Catalog Record")</f>
        <v>Catalog Record</v>
      </c>
      <c r="AT16" s="6" t="str">
        <f>HYPERLINK("http://www.worldcat.org/oclc/48951417","WorldCat Record")</f>
        <v>WorldCat Record</v>
      </c>
      <c r="AU16" s="3" t="s">
        <v>279</v>
      </c>
      <c r="AV16" s="3" t="s">
        <v>280</v>
      </c>
      <c r="AW16" s="3" t="s">
        <v>281</v>
      </c>
      <c r="AX16" s="3" t="s">
        <v>281</v>
      </c>
      <c r="AY16" s="3" t="s">
        <v>282</v>
      </c>
      <c r="AZ16" s="3" t="s">
        <v>73</v>
      </c>
      <c r="BB16" s="3" t="s">
        <v>283</v>
      </c>
      <c r="BC16" s="3" t="s">
        <v>284</v>
      </c>
      <c r="BD16" s="3" t="s">
        <v>285</v>
      </c>
    </row>
    <row r="17" spans="1:56" ht="45" customHeight="1" x14ac:dyDescent="0.25">
      <c r="A17" s="8" t="s">
        <v>58</v>
      </c>
      <c r="B17" s="2" t="s">
        <v>286</v>
      </c>
      <c r="C17" s="2" t="s">
        <v>287</v>
      </c>
      <c r="D17" s="2" t="s">
        <v>288</v>
      </c>
      <c r="F17" s="3" t="s">
        <v>58</v>
      </c>
      <c r="G17" s="3" t="s">
        <v>59</v>
      </c>
      <c r="H17" s="3" t="s">
        <v>58</v>
      </c>
      <c r="I17" s="3" t="s">
        <v>58</v>
      </c>
      <c r="J17" s="3" t="s">
        <v>60</v>
      </c>
      <c r="K17" s="2" t="s">
        <v>289</v>
      </c>
      <c r="L17" s="2" t="s">
        <v>290</v>
      </c>
      <c r="M17" s="3" t="s">
        <v>291</v>
      </c>
      <c r="N17" s="2" t="s">
        <v>292</v>
      </c>
      <c r="O17" s="3" t="s">
        <v>64</v>
      </c>
      <c r="P17" s="3" t="s">
        <v>65</v>
      </c>
      <c r="R17" s="3" t="s">
        <v>66</v>
      </c>
      <c r="S17" s="4">
        <v>6</v>
      </c>
      <c r="T17" s="4">
        <v>6</v>
      </c>
      <c r="U17" s="5" t="s">
        <v>293</v>
      </c>
      <c r="V17" s="5" t="s">
        <v>293</v>
      </c>
      <c r="W17" s="5" t="s">
        <v>252</v>
      </c>
      <c r="X17" s="5" t="s">
        <v>252</v>
      </c>
      <c r="Y17" s="4">
        <v>206</v>
      </c>
      <c r="Z17" s="4">
        <v>130</v>
      </c>
      <c r="AA17" s="4">
        <v>917</v>
      </c>
      <c r="AB17" s="4">
        <v>1</v>
      </c>
      <c r="AC17" s="4">
        <v>3</v>
      </c>
      <c r="AD17" s="4">
        <v>5</v>
      </c>
      <c r="AE17" s="4">
        <v>22</v>
      </c>
      <c r="AF17" s="4">
        <v>2</v>
      </c>
      <c r="AG17" s="4">
        <v>8</v>
      </c>
      <c r="AH17" s="4">
        <v>0</v>
      </c>
      <c r="AI17" s="4">
        <v>7</v>
      </c>
      <c r="AJ17" s="4">
        <v>4</v>
      </c>
      <c r="AK17" s="4">
        <v>13</v>
      </c>
      <c r="AL17" s="4">
        <v>0</v>
      </c>
      <c r="AM17" s="4">
        <v>2</v>
      </c>
      <c r="AN17" s="4">
        <v>0</v>
      </c>
      <c r="AO17" s="4">
        <v>0</v>
      </c>
      <c r="AP17" s="3" t="s">
        <v>58</v>
      </c>
      <c r="AQ17" s="3" t="s">
        <v>68</v>
      </c>
      <c r="AR17" s="6" t="str">
        <f>HYPERLINK("http://catalog.hathitrust.org/Record/000311985","HathiTrust Record")</f>
        <v>HathiTrust Record</v>
      </c>
      <c r="AS17" s="6" t="str">
        <f>HYPERLINK("https://creighton-primo.hosted.exlibrisgroup.com/primo-explore/search?tab=default_tab&amp;search_scope=EVERYTHING&amp;vid=01CRU&amp;lang=en_US&amp;offset=0&amp;query=any,contains,991005011669702656","Catalog Record")</f>
        <v>Catalog Record</v>
      </c>
      <c r="AT17" s="6" t="str">
        <f>HYPERLINK("http://www.worldcat.org/oclc/6603131","WorldCat Record")</f>
        <v>WorldCat Record</v>
      </c>
      <c r="AU17" s="3" t="s">
        <v>294</v>
      </c>
      <c r="AV17" s="3" t="s">
        <v>295</v>
      </c>
      <c r="AW17" s="3" t="s">
        <v>296</v>
      </c>
      <c r="AX17" s="3" t="s">
        <v>296</v>
      </c>
      <c r="AY17" s="3" t="s">
        <v>297</v>
      </c>
      <c r="AZ17" s="3" t="s">
        <v>73</v>
      </c>
      <c r="BB17" s="3" t="s">
        <v>298</v>
      </c>
      <c r="BC17" s="3" t="s">
        <v>299</v>
      </c>
      <c r="BD17" s="3" t="s">
        <v>300</v>
      </c>
    </row>
    <row r="18" spans="1:56" ht="45" customHeight="1" x14ac:dyDescent="0.25">
      <c r="A18" s="8" t="s">
        <v>58</v>
      </c>
      <c r="B18" s="2" t="s">
        <v>301</v>
      </c>
      <c r="C18" s="2" t="s">
        <v>302</v>
      </c>
      <c r="D18" s="2" t="s">
        <v>303</v>
      </c>
      <c r="F18" s="3" t="s">
        <v>58</v>
      </c>
      <c r="G18" s="3" t="s">
        <v>59</v>
      </c>
      <c r="H18" s="3" t="s">
        <v>58</v>
      </c>
      <c r="I18" s="3" t="s">
        <v>58</v>
      </c>
      <c r="J18" s="3" t="s">
        <v>60</v>
      </c>
      <c r="K18" s="2" t="s">
        <v>304</v>
      </c>
      <c r="L18" s="2" t="s">
        <v>305</v>
      </c>
      <c r="M18" s="3" t="s">
        <v>306</v>
      </c>
      <c r="O18" s="3" t="s">
        <v>64</v>
      </c>
      <c r="P18" s="3" t="s">
        <v>250</v>
      </c>
      <c r="Q18" s="2" t="s">
        <v>251</v>
      </c>
      <c r="R18" s="3" t="s">
        <v>66</v>
      </c>
      <c r="S18" s="4">
        <v>1</v>
      </c>
      <c r="T18" s="4">
        <v>1</v>
      </c>
      <c r="U18" s="5" t="s">
        <v>307</v>
      </c>
      <c r="V18" s="5" t="s">
        <v>307</v>
      </c>
      <c r="W18" s="5" t="s">
        <v>236</v>
      </c>
      <c r="X18" s="5" t="s">
        <v>236</v>
      </c>
      <c r="Y18" s="4">
        <v>346</v>
      </c>
      <c r="Z18" s="4">
        <v>285</v>
      </c>
      <c r="AA18" s="4">
        <v>287</v>
      </c>
      <c r="AB18" s="4">
        <v>3</v>
      </c>
      <c r="AC18" s="4">
        <v>3</v>
      </c>
      <c r="AD18" s="4">
        <v>8</v>
      </c>
      <c r="AE18" s="4">
        <v>8</v>
      </c>
      <c r="AF18" s="4">
        <v>1</v>
      </c>
      <c r="AG18" s="4">
        <v>1</v>
      </c>
      <c r="AH18" s="4">
        <v>1</v>
      </c>
      <c r="AI18" s="4">
        <v>1</v>
      </c>
      <c r="AJ18" s="4">
        <v>4</v>
      </c>
      <c r="AK18" s="4">
        <v>4</v>
      </c>
      <c r="AL18" s="4">
        <v>2</v>
      </c>
      <c r="AM18" s="4">
        <v>2</v>
      </c>
      <c r="AN18" s="4">
        <v>0</v>
      </c>
      <c r="AO18" s="4">
        <v>0</v>
      </c>
      <c r="AP18" s="3" t="s">
        <v>58</v>
      </c>
      <c r="AQ18" s="3" t="s">
        <v>68</v>
      </c>
      <c r="AR18" s="6" t="str">
        <f>HYPERLINK("http://catalog.hathitrust.org/Record/001578906","HathiTrust Record")</f>
        <v>HathiTrust Record</v>
      </c>
      <c r="AS18" s="6" t="str">
        <f>HYPERLINK("https://creighton-primo.hosted.exlibrisgroup.com/primo-explore/search?tab=default_tab&amp;search_scope=EVERYTHING&amp;vid=01CRU&amp;lang=en_US&amp;offset=0&amp;query=any,contains,991003362059702656","Catalog Record")</f>
        <v>Catalog Record</v>
      </c>
      <c r="AT18" s="6" t="str">
        <f>HYPERLINK("http://www.worldcat.org/oclc/897940","WorldCat Record")</f>
        <v>WorldCat Record</v>
      </c>
      <c r="AU18" s="3" t="s">
        <v>308</v>
      </c>
      <c r="AV18" s="3" t="s">
        <v>309</v>
      </c>
      <c r="AW18" s="3" t="s">
        <v>310</v>
      </c>
      <c r="AX18" s="3" t="s">
        <v>310</v>
      </c>
      <c r="AY18" s="3" t="s">
        <v>311</v>
      </c>
      <c r="AZ18" s="3" t="s">
        <v>73</v>
      </c>
      <c r="BB18" s="3" t="s">
        <v>312</v>
      </c>
      <c r="BC18" s="3" t="s">
        <v>313</v>
      </c>
      <c r="BD18" s="3" t="s">
        <v>314</v>
      </c>
    </row>
    <row r="19" spans="1:56" ht="45" customHeight="1" x14ac:dyDescent="0.25">
      <c r="A19" s="8" t="s">
        <v>58</v>
      </c>
      <c r="B19" s="2" t="s">
        <v>315</v>
      </c>
      <c r="C19" s="2" t="s">
        <v>316</v>
      </c>
      <c r="D19" s="2" t="s">
        <v>317</v>
      </c>
      <c r="F19" s="3" t="s">
        <v>58</v>
      </c>
      <c r="G19" s="3" t="s">
        <v>59</v>
      </c>
      <c r="H19" s="3" t="s">
        <v>58</v>
      </c>
      <c r="I19" s="3" t="s">
        <v>58</v>
      </c>
      <c r="J19" s="3" t="s">
        <v>60</v>
      </c>
      <c r="K19" s="2" t="s">
        <v>318</v>
      </c>
      <c r="L19" s="2" t="s">
        <v>319</v>
      </c>
      <c r="M19" s="3" t="s">
        <v>129</v>
      </c>
      <c r="O19" s="3" t="s">
        <v>64</v>
      </c>
      <c r="P19" s="3" t="s">
        <v>114</v>
      </c>
      <c r="R19" s="3" t="s">
        <v>66</v>
      </c>
      <c r="S19" s="4">
        <v>4</v>
      </c>
      <c r="T19" s="4">
        <v>4</v>
      </c>
      <c r="U19" s="5" t="s">
        <v>320</v>
      </c>
      <c r="V19" s="5" t="s">
        <v>320</v>
      </c>
      <c r="W19" s="5" t="s">
        <v>321</v>
      </c>
      <c r="X19" s="5" t="s">
        <v>321</v>
      </c>
      <c r="Y19" s="4">
        <v>328</v>
      </c>
      <c r="Z19" s="4">
        <v>220</v>
      </c>
      <c r="AA19" s="4">
        <v>221</v>
      </c>
      <c r="AB19" s="4">
        <v>3</v>
      </c>
      <c r="AC19" s="4">
        <v>3</v>
      </c>
      <c r="AD19" s="4">
        <v>9</v>
      </c>
      <c r="AE19" s="4">
        <v>9</v>
      </c>
      <c r="AF19" s="4">
        <v>4</v>
      </c>
      <c r="AG19" s="4">
        <v>4</v>
      </c>
      <c r="AH19" s="4">
        <v>2</v>
      </c>
      <c r="AI19" s="4">
        <v>2</v>
      </c>
      <c r="AJ19" s="4">
        <v>4</v>
      </c>
      <c r="AK19" s="4">
        <v>4</v>
      </c>
      <c r="AL19" s="4">
        <v>2</v>
      </c>
      <c r="AM19" s="4">
        <v>2</v>
      </c>
      <c r="AN19" s="4">
        <v>0</v>
      </c>
      <c r="AO19" s="4">
        <v>0</v>
      </c>
      <c r="AP19" s="3" t="s">
        <v>58</v>
      </c>
      <c r="AQ19" s="3" t="s">
        <v>68</v>
      </c>
      <c r="AR19" s="6" t="str">
        <f>HYPERLINK("http://catalog.hathitrust.org/Record/009081202","HathiTrust Record")</f>
        <v>HathiTrust Record</v>
      </c>
      <c r="AS19" s="6" t="str">
        <f>HYPERLINK("https://creighton-primo.hosted.exlibrisgroup.com/primo-explore/search?tab=default_tab&amp;search_scope=EVERYTHING&amp;vid=01CRU&amp;lang=en_US&amp;offset=0&amp;query=any,contains,991004197359702656","Catalog Record")</f>
        <v>Catalog Record</v>
      </c>
      <c r="AT19" s="6" t="str">
        <f>HYPERLINK("http://www.worldcat.org/oclc/2645316","WorldCat Record")</f>
        <v>WorldCat Record</v>
      </c>
      <c r="AU19" s="3" t="s">
        <v>322</v>
      </c>
      <c r="AV19" s="3" t="s">
        <v>323</v>
      </c>
      <c r="AW19" s="3" t="s">
        <v>324</v>
      </c>
      <c r="AX19" s="3" t="s">
        <v>324</v>
      </c>
      <c r="AY19" s="3" t="s">
        <v>325</v>
      </c>
      <c r="AZ19" s="3" t="s">
        <v>73</v>
      </c>
      <c r="BB19" s="3" t="s">
        <v>326</v>
      </c>
      <c r="BC19" s="3" t="s">
        <v>327</v>
      </c>
      <c r="BD19" s="3" t="s">
        <v>328</v>
      </c>
    </row>
    <row r="20" spans="1:56" ht="45" customHeight="1" x14ac:dyDescent="0.25">
      <c r="A20" s="8" t="s">
        <v>58</v>
      </c>
      <c r="B20" s="2" t="s">
        <v>329</v>
      </c>
      <c r="C20" s="2" t="s">
        <v>330</v>
      </c>
      <c r="D20" s="2" t="s">
        <v>331</v>
      </c>
      <c r="F20" s="3" t="s">
        <v>58</v>
      </c>
      <c r="G20" s="3" t="s">
        <v>59</v>
      </c>
      <c r="H20" s="3" t="s">
        <v>68</v>
      </c>
      <c r="I20" s="3" t="s">
        <v>58</v>
      </c>
      <c r="J20" s="3" t="s">
        <v>60</v>
      </c>
      <c r="K20" s="2" t="s">
        <v>332</v>
      </c>
      <c r="L20" s="2" t="s">
        <v>333</v>
      </c>
      <c r="M20" s="3" t="s">
        <v>234</v>
      </c>
      <c r="N20" s="2" t="s">
        <v>334</v>
      </c>
      <c r="O20" s="3" t="s">
        <v>64</v>
      </c>
      <c r="P20" s="3" t="s">
        <v>191</v>
      </c>
      <c r="R20" s="3" t="s">
        <v>66</v>
      </c>
      <c r="S20" s="4">
        <v>2</v>
      </c>
      <c r="T20" s="4">
        <v>5</v>
      </c>
      <c r="U20" s="5" t="s">
        <v>335</v>
      </c>
      <c r="V20" s="5" t="s">
        <v>336</v>
      </c>
      <c r="W20" s="5" t="s">
        <v>337</v>
      </c>
      <c r="X20" s="5" t="s">
        <v>337</v>
      </c>
      <c r="Y20" s="4">
        <v>422</v>
      </c>
      <c r="Z20" s="4">
        <v>378</v>
      </c>
      <c r="AA20" s="4">
        <v>388</v>
      </c>
      <c r="AB20" s="4">
        <v>5</v>
      </c>
      <c r="AC20" s="4">
        <v>6</v>
      </c>
      <c r="AD20" s="4">
        <v>15</v>
      </c>
      <c r="AE20" s="4">
        <v>16</v>
      </c>
      <c r="AF20" s="4">
        <v>5</v>
      </c>
      <c r="AG20" s="4">
        <v>5</v>
      </c>
      <c r="AH20" s="4">
        <v>2</v>
      </c>
      <c r="AI20" s="4">
        <v>2</v>
      </c>
      <c r="AJ20" s="4">
        <v>8</v>
      </c>
      <c r="AK20" s="4">
        <v>8</v>
      </c>
      <c r="AL20" s="4">
        <v>2</v>
      </c>
      <c r="AM20" s="4">
        <v>3</v>
      </c>
      <c r="AN20" s="4">
        <v>0</v>
      </c>
      <c r="AO20" s="4">
        <v>0</v>
      </c>
      <c r="AP20" s="3" t="s">
        <v>58</v>
      </c>
      <c r="AQ20" s="3" t="s">
        <v>68</v>
      </c>
      <c r="AR20" s="6" t="str">
        <f>HYPERLINK("http://catalog.hathitrust.org/Record/000014613","HathiTrust Record")</f>
        <v>HathiTrust Record</v>
      </c>
      <c r="AS20" s="6" t="str">
        <f>HYPERLINK("https://creighton-primo.hosted.exlibrisgroup.com/primo-explore/search?tab=default_tab&amp;search_scope=EVERYTHING&amp;vid=01CRU&amp;lang=en_US&amp;offset=0&amp;query=any,contains,991001772339702656","Catalog Record")</f>
        <v>Catalog Record</v>
      </c>
      <c r="AT20" s="6" t="str">
        <f>HYPERLINK("http://www.worldcat.org/oclc/915846","WorldCat Record")</f>
        <v>WorldCat Record</v>
      </c>
      <c r="AU20" s="3" t="s">
        <v>338</v>
      </c>
      <c r="AV20" s="3" t="s">
        <v>339</v>
      </c>
      <c r="AW20" s="3" t="s">
        <v>340</v>
      </c>
      <c r="AX20" s="3" t="s">
        <v>340</v>
      </c>
      <c r="AY20" s="3" t="s">
        <v>341</v>
      </c>
      <c r="AZ20" s="3" t="s">
        <v>73</v>
      </c>
      <c r="BB20" s="3" t="s">
        <v>342</v>
      </c>
      <c r="BC20" s="3" t="s">
        <v>343</v>
      </c>
      <c r="BD20" s="3" t="s">
        <v>344</v>
      </c>
    </row>
    <row r="21" spans="1:56" ht="45" customHeight="1" x14ac:dyDescent="0.25">
      <c r="A21" s="8" t="s">
        <v>58</v>
      </c>
      <c r="B21" s="2" t="s">
        <v>345</v>
      </c>
      <c r="C21" s="2" t="s">
        <v>346</v>
      </c>
      <c r="D21" s="2" t="s">
        <v>347</v>
      </c>
      <c r="F21" s="3" t="s">
        <v>58</v>
      </c>
      <c r="G21" s="3" t="s">
        <v>59</v>
      </c>
      <c r="H21" s="3" t="s">
        <v>58</v>
      </c>
      <c r="I21" s="3" t="s">
        <v>58</v>
      </c>
      <c r="J21" s="3" t="s">
        <v>60</v>
      </c>
      <c r="K21" s="2" t="s">
        <v>348</v>
      </c>
      <c r="L21" s="2" t="s">
        <v>349</v>
      </c>
      <c r="M21" s="3" t="s">
        <v>350</v>
      </c>
      <c r="O21" s="3" t="s">
        <v>64</v>
      </c>
      <c r="P21" s="3" t="s">
        <v>65</v>
      </c>
      <c r="R21" s="3" t="s">
        <v>66</v>
      </c>
      <c r="S21" s="4">
        <v>1</v>
      </c>
      <c r="T21" s="4">
        <v>1</v>
      </c>
      <c r="U21" s="5" t="s">
        <v>351</v>
      </c>
      <c r="V21" s="5" t="s">
        <v>351</v>
      </c>
      <c r="W21" s="5" t="s">
        <v>352</v>
      </c>
      <c r="X21" s="5" t="s">
        <v>352</v>
      </c>
      <c r="Y21" s="4">
        <v>703</v>
      </c>
      <c r="Z21" s="4">
        <v>551</v>
      </c>
      <c r="AA21" s="4">
        <v>556</v>
      </c>
      <c r="AB21" s="4">
        <v>7</v>
      </c>
      <c r="AC21" s="4">
        <v>7</v>
      </c>
      <c r="AD21" s="4">
        <v>19</v>
      </c>
      <c r="AE21" s="4">
        <v>19</v>
      </c>
      <c r="AF21" s="4">
        <v>7</v>
      </c>
      <c r="AG21" s="4">
        <v>7</v>
      </c>
      <c r="AH21" s="4">
        <v>4</v>
      </c>
      <c r="AI21" s="4">
        <v>4</v>
      </c>
      <c r="AJ21" s="4">
        <v>9</v>
      </c>
      <c r="AK21" s="4">
        <v>9</v>
      </c>
      <c r="AL21" s="4">
        <v>3</v>
      </c>
      <c r="AM21" s="4">
        <v>3</v>
      </c>
      <c r="AN21" s="4">
        <v>0</v>
      </c>
      <c r="AO21" s="4">
        <v>0</v>
      </c>
      <c r="AP21" s="3" t="s">
        <v>58</v>
      </c>
      <c r="AQ21" s="3" t="s">
        <v>58</v>
      </c>
      <c r="AS21" s="6" t="str">
        <f>HYPERLINK("https://creighton-primo.hosted.exlibrisgroup.com/primo-explore/search?tab=default_tab&amp;search_scope=EVERYTHING&amp;vid=01CRU&amp;lang=en_US&amp;offset=0&amp;query=any,contains,991002896679702656","Catalog Record")</f>
        <v>Catalog Record</v>
      </c>
      <c r="AT21" s="6" t="str">
        <f>HYPERLINK("http://www.worldcat.org/oclc/514580","WorldCat Record")</f>
        <v>WorldCat Record</v>
      </c>
      <c r="AU21" s="3" t="s">
        <v>353</v>
      </c>
      <c r="AV21" s="3" t="s">
        <v>354</v>
      </c>
      <c r="AW21" s="3" t="s">
        <v>355</v>
      </c>
      <c r="AX21" s="3" t="s">
        <v>355</v>
      </c>
      <c r="AY21" s="3" t="s">
        <v>356</v>
      </c>
      <c r="AZ21" s="3" t="s">
        <v>73</v>
      </c>
      <c r="BB21" s="3" t="s">
        <v>357</v>
      </c>
      <c r="BC21" s="3" t="s">
        <v>358</v>
      </c>
      <c r="BD21" s="3" t="s">
        <v>359</v>
      </c>
    </row>
    <row r="22" spans="1:56" ht="45" customHeight="1" x14ac:dyDescent="0.25">
      <c r="A22" s="8" t="s">
        <v>58</v>
      </c>
      <c r="B22" s="2" t="s">
        <v>360</v>
      </c>
      <c r="C22" s="2" t="s">
        <v>361</v>
      </c>
      <c r="D22" s="2" t="s">
        <v>362</v>
      </c>
      <c r="F22" s="3" t="s">
        <v>58</v>
      </c>
      <c r="G22" s="3" t="s">
        <v>59</v>
      </c>
      <c r="H22" s="3" t="s">
        <v>58</v>
      </c>
      <c r="I22" s="3" t="s">
        <v>68</v>
      </c>
      <c r="J22" s="3" t="s">
        <v>60</v>
      </c>
      <c r="K22" s="2" t="s">
        <v>363</v>
      </c>
      <c r="L22" s="2" t="s">
        <v>364</v>
      </c>
      <c r="M22" s="3" t="s">
        <v>365</v>
      </c>
      <c r="N22" s="2" t="s">
        <v>277</v>
      </c>
      <c r="O22" s="3" t="s">
        <v>64</v>
      </c>
      <c r="P22" s="3" t="s">
        <v>191</v>
      </c>
      <c r="R22" s="3" t="s">
        <v>66</v>
      </c>
      <c r="S22" s="4">
        <v>4</v>
      </c>
      <c r="T22" s="4">
        <v>4</v>
      </c>
      <c r="U22" s="5" t="s">
        <v>351</v>
      </c>
      <c r="V22" s="5" t="s">
        <v>351</v>
      </c>
      <c r="W22" s="5" t="s">
        <v>337</v>
      </c>
      <c r="X22" s="5" t="s">
        <v>337</v>
      </c>
      <c r="Y22" s="4">
        <v>135</v>
      </c>
      <c r="Z22" s="4">
        <v>111</v>
      </c>
      <c r="AA22" s="4">
        <v>598</v>
      </c>
      <c r="AB22" s="4">
        <v>1</v>
      </c>
      <c r="AC22" s="4">
        <v>3</v>
      </c>
      <c r="AD22" s="4">
        <v>0</v>
      </c>
      <c r="AE22" s="4">
        <v>13</v>
      </c>
      <c r="AF22" s="4">
        <v>0</v>
      </c>
      <c r="AG22" s="4">
        <v>5</v>
      </c>
      <c r="AH22" s="4">
        <v>0</v>
      </c>
      <c r="AI22" s="4">
        <v>1</v>
      </c>
      <c r="AJ22" s="4">
        <v>0</v>
      </c>
      <c r="AK22" s="4">
        <v>7</v>
      </c>
      <c r="AL22" s="4">
        <v>0</v>
      </c>
      <c r="AM22" s="4">
        <v>2</v>
      </c>
      <c r="AN22" s="4">
        <v>0</v>
      </c>
      <c r="AO22" s="4">
        <v>0</v>
      </c>
      <c r="AP22" s="3" t="s">
        <v>58</v>
      </c>
      <c r="AQ22" s="3" t="s">
        <v>68</v>
      </c>
      <c r="AR22" s="6" t="str">
        <f>HYPERLINK("http://catalog.hathitrust.org/Record/001570319","HathiTrust Record")</f>
        <v>HathiTrust Record</v>
      </c>
      <c r="AS22" s="6" t="str">
        <f>HYPERLINK("https://creighton-primo.hosted.exlibrisgroup.com/primo-explore/search?tab=default_tab&amp;search_scope=EVERYTHING&amp;vid=01CRU&amp;lang=en_US&amp;offset=0&amp;query=any,contains,991000615429702656","Catalog Record")</f>
        <v>Catalog Record</v>
      </c>
      <c r="AT22" s="6" t="str">
        <f>HYPERLINK("http://www.worldcat.org/oclc/101584","WorldCat Record")</f>
        <v>WorldCat Record</v>
      </c>
      <c r="AU22" s="3" t="s">
        <v>366</v>
      </c>
      <c r="AV22" s="3" t="s">
        <v>367</v>
      </c>
      <c r="AW22" s="3" t="s">
        <v>368</v>
      </c>
      <c r="AX22" s="3" t="s">
        <v>368</v>
      </c>
      <c r="AY22" s="3" t="s">
        <v>369</v>
      </c>
      <c r="AZ22" s="3" t="s">
        <v>73</v>
      </c>
      <c r="BB22" s="3" t="s">
        <v>370</v>
      </c>
      <c r="BC22" s="3" t="s">
        <v>371</v>
      </c>
      <c r="BD22" s="3" t="s">
        <v>372</v>
      </c>
    </row>
    <row r="23" spans="1:56" ht="45" customHeight="1" x14ac:dyDescent="0.25">
      <c r="A23" s="8" t="s">
        <v>58</v>
      </c>
      <c r="B23" s="2" t="s">
        <v>373</v>
      </c>
      <c r="C23" s="2" t="s">
        <v>374</v>
      </c>
      <c r="D23" s="2" t="s">
        <v>375</v>
      </c>
      <c r="F23" s="3" t="s">
        <v>58</v>
      </c>
      <c r="G23" s="3" t="s">
        <v>59</v>
      </c>
      <c r="H23" s="3" t="s">
        <v>58</v>
      </c>
      <c r="I23" s="3" t="s">
        <v>58</v>
      </c>
      <c r="J23" s="3" t="s">
        <v>60</v>
      </c>
      <c r="K23" s="2" t="s">
        <v>376</v>
      </c>
      <c r="L23" s="2" t="s">
        <v>377</v>
      </c>
      <c r="M23" s="3" t="s">
        <v>378</v>
      </c>
      <c r="O23" s="3" t="s">
        <v>64</v>
      </c>
      <c r="P23" s="3" t="s">
        <v>177</v>
      </c>
      <c r="R23" s="3" t="s">
        <v>66</v>
      </c>
      <c r="S23" s="4">
        <v>3</v>
      </c>
      <c r="T23" s="4">
        <v>3</v>
      </c>
      <c r="U23" s="5" t="s">
        <v>379</v>
      </c>
      <c r="V23" s="5" t="s">
        <v>379</v>
      </c>
      <c r="W23" s="5" t="s">
        <v>380</v>
      </c>
      <c r="X23" s="5" t="s">
        <v>380</v>
      </c>
      <c r="Y23" s="4">
        <v>193</v>
      </c>
      <c r="Z23" s="4">
        <v>133</v>
      </c>
      <c r="AA23" s="4">
        <v>138</v>
      </c>
      <c r="AB23" s="4">
        <v>3</v>
      </c>
      <c r="AC23" s="4">
        <v>3</v>
      </c>
      <c r="AD23" s="4">
        <v>4</v>
      </c>
      <c r="AE23" s="4">
        <v>4</v>
      </c>
      <c r="AF23" s="4">
        <v>0</v>
      </c>
      <c r="AG23" s="4">
        <v>0</v>
      </c>
      <c r="AH23" s="4">
        <v>1</v>
      </c>
      <c r="AI23" s="4">
        <v>1</v>
      </c>
      <c r="AJ23" s="4">
        <v>1</v>
      </c>
      <c r="AK23" s="4">
        <v>1</v>
      </c>
      <c r="AL23" s="4">
        <v>2</v>
      </c>
      <c r="AM23" s="4">
        <v>2</v>
      </c>
      <c r="AN23" s="4">
        <v>0</v>
      </c>
      <c r="AO23" s="4">
        <v>0</v>
      </c>
      <c r="AP23" s="3" t="s">
        <v>58</v>
      </c>
      <c r="AQ23" s="3" t="s">
        <v>58</v>
      </c>
      <c r="AS23" s="6" t="str">
        <f>HYPERLINK("https://creighton-primo.hosted.exlibrisgroup.com/primo-explore/search?tab=default_tab&amp;search_scope=EVERYTHING&amp;vid=01CRU&amp;lang=en_US&amp;offset=0&amp;query=any,contains,991000188069702656","Catalog Record")</f>
        <v>Catalog Record</v>
      </c>
      <c r="AT23" s="6" t="str">
        <f>HYPERLINK("http://www.worldcat.org/oclc/9394654","WorldCat Record")</f>
        <v>WorldCat Record</v>
      </c>
      <c r="AU23" s="3" t="s">
        <v>381</v>
      </c>
      <c r="AV23" s="3" t="s">
        <v>382</v>
      </c>
      <c r="AW23" s="3" t="s">
        <v>383</v>
      </c>
      <c r="AX23" s="3" t="s">
        <v>383</v>
      </c>
      <c r="AY23" s="3" t="s">
        <v>384</v>
      </c>
      <c r="AZ23" s="3" t="s">
        <v>73</v>
      </c>
      <c r="BB23" s="3" t="s">
        <v>385</v>
      </c>
      <c r="BC23" s="3" t="s">
        <v>386</v>
      </c>
      <c r="BD23" s="3" t="s">
        <v>387</v>
      </c>
    </row>
    <row r="24" spans="1:56" ht="45" customHeight="1" x14ac:dyDescent="0.25">
      <c r="A24" s="8" t="s">
        <v>58</v>
      </c>
      <c r="B24" s="2" t="s">
        <v>388</v>
      </c>
      <c r="C24" s="2" t="s">
        <v>389</v>
      </c>
      <c r="D24" s="2" t="s">
        <v>390</v>
      </c>
      <c r="F24" s="3" t="s">
        <v>58</v>
      </c>
      <c r="G24" s="3" t="s">
        <v>59</v>
      </c>
      <c r="H24" s="3" t="s">
        <v>58</v>
      </c>
      <c r="I24" s="3" t="s">
        <v>58</v>
      </c>
      <c r="J24" s="3" t="s">
        <v>60</v>
      </c>
      <c r="K24" s="2" t="s">
        <v>391</v>
      </c>
      <c r="L24" s="2" t="s">
        <v>392</v>
      </c>
      <c r="M24" s="3" t="s">
        <v>393</v>
      </c>
      <c r="O24" s="3" t="s">
        <v>64</v>
      </c>
      <c r="P24" s="3" t="s">
        <v>177</v>
      </c>
      <c r="R24" s="3" t="s">
        <v>66</v>
      </c>
      <c r="S24" s="4">
        <v>10</v>
      </c>
      <c r="T24" s="4">
        <v>10</v>
      </c>
      <c r="U24" s="5" t="s">
        <v>394</v>
      </c>
      <c r="V24" s="5" t="s">
        <v>394</v>
      </c>
      <c r="W24" s="5" t="s">
        <v>252</v>
      </c>
      <c r="X24" s="5" t="s">
        <v>252</v>
      </c>
      <c r="Y24" s="4">
        <v>128</v>
      </c>
      <c r="Z24" s="4">
        <v>97</v>
      </c>
      <c r="AA24" s="4">
        <v>97</v>
      </c>
      <c r="AB24" s="4">
        <v>2</v>
      </c>
      <c r="AC24" s="4">
        <v>2</v>
      </c>
      <c r="AD24" s="4">
        <v>3</v>
      </c>
      <c r="AE24" s="4">
        <v>3</v>
      </c>
      <c r="AF24" s="4">
        <v>1</v>
      </c>
      <c r="AG24" s="4">
        <v>1</v>
      </c>
      <c r="AH24" s="4">
        <v>0</v>
      </c>
      <c r="AI24" s="4">
        <v>0</v>
      </c>
      <c r="AJ24" s="4">
        <v>1</v>
      </c>
      <c r="AK24" s="4">
        <v>1</v>
      </c>
      <c r="AL24" s="4">
        <v>1</v>
      </c>
      <c r="AM24" s="4">
        <v>1</v>
      </c>
      <c r="AN24" s="4">
        <v>0</v>
      </c>
      <c r="AO24" s="4">
        <v>0</v>
      </c>
      <c r="AP24" s="3" t="s">
        <v>58</v>
      </c>
      <c r="AQ24" s="3" t="s">
        <v>58</v>
      </c>
      <c r="AS24" s="6" t="str">
        <f>HYPERLINK("https://creighton-primo.hosted.exlibrisgroup.com/primo-explore/search?tab=default_tab&amp;search_scope=EVERYTHING&amp;vid=01CRU&amp;lang=en_US&amp;offset=0&amp;query=any,contains,991004877179702656","Catalog Record")</f>
        <v>Catalog Record</v>
      </c>
      <c r="AT24" s="6" t="str">
        <f>HYPERLINK("http://www.worldcat.org/oclc/5798623","WorldCat Record")</f>
        <v>WorldCat Record</v>
      </c>
      <c r="AU24" s="3" t="s">
        <v>395</v>
      </c>
      <c r="AV24" s="3" t="s">
        <v>396</v>
      </c>
      <c r="AW24" s="3" t="s">
        <v>397</v>
      </c>
      <c r="AX24" s="3" t="s">
        <v>397</v>
      </c>
      <c r="AY24" s="3" t="s">
        <v>398</v>
      </c>
      <c r="AZ24" s="3" t="s">
        <v>73</v>
      </c>
      <c r="BB24" s="3" t="s">
        <v>399</v>
      </c>
      <c r="BC24" s="3" t="s">
        <v>400</v>
      </c>
      <c r="BD24" s="3" t="s">
        <v>401</v>
      </c>
    </row>
    <row r="25" spans="1:56" ht="45" customHeight="1" x14ac:dyDescent="0.25">
      <c r="A25" s="8" t="s">
        <v>58</v>
      </c>
      <c r="B25" s="2" t="s">
        <v>402</v>
      </c>
      <c r="C25" s="2" t="s">
        <v>403</v>
      </c>
      <c r="D25" s="2" t="s">
        <v>404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60</v>
      </c>
      <c r="K25" s="2" t="s">
        <v>405</v>
      </c>
      <c r="L25" s="2" t="s">
        <v>406</v>
      </c>
      <c r="M25" s="3" t="s">
        <v>407</v>
      </c>
      <c r="N25" s="2" t="s">
        <v>292</v>
      </c>
      <c r="O25" s="3" t="s">
        <v>64</v>
      </c>
      <c r="P25" s="3" t="s">
        <v>177</v>
      </c>
      <c r="R25" s="3" t="s">
        <v>66</v>
      </c>
      <c r="S25" s="4">
        <v>7</v>
      </c>
      <c r="T25" s="4">
        <v>7</v>
      </c>
      <c r="U25" s="5" t="s">
        <v>408</v>
      </c>
      <c r="V25" s="5" t="s">
        <v>408</v>
      </c>
      <c r="W25" s="5" t="s">
        <v>409</v>
      </c>
      <c r="X25" s="5" t="s">
        <v>409</v>
      </c>
      <c r="Y25" s="4">
        <v>338</v>
      </c>
      <c r="Z25" s="4">
        <v>256</v>
      </c>
      <c r="AA25" s="4">
        <v>694</v>
      </c>
      <c r="AB25" s="4">
        <v>3</v>
      </c>
      <c r="AC25" s="4">
        <v>6</v>
      </c>
      <c r="AD25" s="4">
        <v>5</v>
      </c>
      <c r="AE25" s="4">
        <v>17</v>
      </c>
      <c r="AF25" s="4">
        <v>1</v>
      </c>
      <c r="AG25" s="4">
        <v>8</v>
      </c>
      <c r="AH25" s="4">
        <v>1</v>
      </c>
      <c r="AI25" s="4">
        <v>1</v>
      </c>
      <c r="AJ25" s="4">
        <v>2</v>
      </c>
      <c r="AK25" s="4">
        <v>9</v>
      </c>
      <c r="AL25" s="4">
        <v>2</v>
      </c>
      <c r="AM25" s="4">
        <v>4</v>
      </c>
      <c r="AN25" s="4">
        <v>0</v>
      </c>
      <c r="AO25" s="4">
        <v>0</v>
      </c>
      <c r="AP25" s="3" t="s">
        <v>58</v>
      </c>
      <c r="AQ25" s="3" t="s">
        <v>68</v>
      </c>
      <c r="AR25" s="6" t="str">
        <f>HYPERLINK("http://catalog.hathitrust.org/Record/000722796","HathiTrust Record")</f>
        <v>HathiTrust Record</v>
      </c>
      <c r="AS25" s="6" t="str">
        <f>HYPERLINK("https://creighton-primo.hosted.exlibrisgroup.com/primo-explore/search?tab=default_tab&amp;search_scope=EVERYTHING&amp;vid=01CRU&amp;lang=en_US&amp;offset=0&amp;query=any,contains,991004009159702656","Catalog Record")</f>
        <v>Catalog Record</v>
      </c>
      <c r="AT25" s="6" t="str">
        <f>HYPERLINK("http://www.worldcat.org/oclc/2089607","WorldCat Record")</f>
        <v>WorldCat Record</v>
      </c>
      <c r="AU25" s="3" t="s">
        <v>410</v>
      </c>
      <c r="AV25" s="3" t="s">
        <v>411</v>
      </c>
      <c r="AW25" s="3" t="s">
        <v>412</v>
      </c>
      <c r="AX25" s="3" t="s">
        <v>412</v>
      </c>
      <c r="AY25" s="3" t="s">
        <v>413</v>
      </c>
      <c r="AZ25" s="3" t="s">
        <v>73</v>
      </c>
      <c r="BB25" s="3" t="s">
        <v>414</v>
      </c>
      <c r="BC25" s="3" t="s">
        <v>415</v>
      </c>
      <c r="BD25" s="3" t="s">
        <v>416</v>
      </c>
    </row>
    <row r="26" spans="1:56" ht="45" customHeight="1" x14ac:dyDescent="0.25">
      <c r="A26" s="8" t="s">
        <v>58</v>
      </c>
      <c r="B26" s="2" t="s">
        <v>417</v>
      </c>
      <c r="C26" s="2" t="s">
        <v>418</v>
      </c>
      <c r="D26" s="2" t="s">
        <v>419</v>
      </c>
      <c r="F26" s="3" t="s">
        <v>58</v>
      </c>
      <c r="G26" s="3" t="s">
        <v>59</v>
      </c>
      <c r="H26" s="3" t="s">
        <v>58</v>
      </c>
      <c r="I26" s="3" t="s">
        <v>58</v>
      </c>
      <c r="J26" s="3" t="s">
        <v>60</v>
      </c>
      <c r="K26" s="2" t="s">
        <v>420</v>
      </c>
      <c r="L26" s="2" t="s">
        <v>421</v>
      </c>
      <c r="M26" s="3" t="s">
        <v>249</v>
      </c>
      <c r="O26" s="3" t="s">
        <v>64</v>
      </c>
      <c r="P26" s="3" t="s">
        <v>422</v>
      </c>
      <c r="R26" s="3" t="s">
        <v>66</v>
      </c>
      <c r="S26" s="4">
        <v>3</v>
      </c>
      <c r="T26" s="4">
        <v>3</v>
      </c>
      <c r="U26" s="5" t="s">
        <v>423</v>
      </c>
      <c r="V26" s="5" t="s">
        <v>423</v>
      </c>
      <c r="W26" s="5" t="s">
        <v>424</v>
      </c>
      <c r="X26" s="5" t="s">
        <v>424</v>
      </c>
      <c r="Y26" s="4">
        <v>562</v>
      </c>
      <c r="Z26" s="4">
        <v>504</v>
      </c>
      <c r="AA26" s="4">
        <v>626</v>
      </c>
      <c r="AB26" s="4">
        <v>6</v>
      </c>
      <c r="AC26" s="4">
        <v>6</v>
      </c>
      <c r="AD26" s="4">
        <v>21</v>
      </c>
      <c r="AE26" s="4">
        <v>24</v>
      </c>
      <c r="AF26" s="4">
        <v>7</v>
      </c>
      <c r="AG26" s="4">
        <v>9</v>
      </c>
      <c r="AH26" s="4">
        <v>4</v>
      </c>
      <c r="AI26" s="4">
        <v>4</v>
      </c>
      <c r="AJ26" s="4">
        <v>11</v>
      </c>
      <c r="AK26" s="4">
        <v>12</v>
      </c>
      <c r="AL26" s="4">
        <v>4</v>
      </c>
      <c r="AM26" s="4">
        <v>4</v>
      </c>
      <c r="AN26" s="4">
        <v>0</v>
      </c>
      <c r="AO26" s="4">
        <v>0</v>
      </c>
      <c r="AP26" s="3" t="s">
        <v>58</v>
      </c>
      <c r="AQ26" s="3" t="s">
        <v>68</v>
      </c>
      <c r="AR26" s="6" t="str">
        <f>HYPERLINK("http://catalog.hathitrust.org/Record/000748376","HathiTrust Record")</f>
        <v>HathiTrust Record</v>
      </c>
      <c r="AS26" s="6" t="str">
        <f>HYPERLINK("https://creighton-primo.hosted.exlibrisgroup.com/primo-explore/search?tab=default_tab&amp;search_scope=EVERYTHING&amp;vid=01CRU&amp;lang=en_US&amp;offset=0&amp;query=any,contains,991005265739702656","Catalog Record")</f>
        <v>Catalog Record</v>
      </c>
      <c r="AT26" s="6" t="str">
        <f>HYPERLINK("http://www.worldcat.org/oclc/3310884","WorldCat Record")</f>
        <v>WorldCat Record</v>
      </c>
      <c r="AU26" s="3" t="s">
        <v>425</v>
      </c>
      <c r="AV26" s="3" t="s">
        <v>426</v>
      </c>
      <c r="AW26" s="3" t="s">
        <v>427</v>
      </c>
      <c r="AX26" s="3" t="s">
        <v>427</v>
      </c>
      <c r="AY26" s="3" t="s">
        <v>428</v>
      </c>
      <c r="AZ26" s="3" t="s">
        <v>73</v>
      </c>
      <c r="BB26" s="3" t="s">
        <v>429</v>
      </c>
      <c r="BC26" s="3" t="s">
        <v>430</v>
      </c>
      <c r="BD26" s="3" t="s">
        <v>431</v>
      </c>
    </row>
    <row r="27" spans="1:56" ht="45" customHeight="1" x14ac:dyDescent="0.25">
      <c r="A27" s="8" t="s">
        <v>58</v>
      </c>
      <c r="B27" s="2" t="s">
        <v>432</v>
      </c>
      <c r="C27" s="2" t="s">
        <v>433</v>
      </c>
      <c r="D27" s="2" t="s">
        <v>434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60</v>
      </c>
      <c r="K27" s="2" t="s">
        <v>435</v>
      </c>
      <c r="L27" s="2" t="s">
        <v>436</v>
      </c>
      <c r="M27" s="3" t="s">
        <v>82</v>
      </c>
      <c r="O27" s="3" t="s">
        <v>64</v>
      </c>
      <c r="P27" s="3" t="s">
        <v>65</v>
      </c>
      <c r="R27" s="3" t="s">
        <v>66</v>
      </c>
      <c r="S27" s="4">
        <v>3</v>
      </c>
      <c r="T27" s="4">
        <v>3</v>
      </c>
      <c r="U27" s="5" t="s">
        <v>437</v>
      </c>
      <c r="V27" s="5" t="s">
        <v>437</v>
      </c>
      <c r="W27" s="5" t="s">
        <v>252</v>
      </c>
      <c r="X27" s="5" t="s">
        <v>252</v>
      </c>
      <c r="Y27" s="4">
        <v>304</v>
      </c>
      <c r="Z27" s="4">
        <v>235</v>
      </c>
      <c r="AA27" s="4">
        <v>237</v>
      </c>
      <c r="AB27" s="4">
        <v>4</v>
      </c>
      <c r="AC27" s="4">
        <v>4</v>
      </c>
      <c r="AD27" s="4">
        <v>7</v>
      </c>
      <c r="AE27" s="4">
        <v>7</v>
      </c>
      <c r="AF27" s="4">
        <v>1</v>
      </c>
      <c r="AG27" s="4">
        <v>1</v>
      </c>
      <c r="AH27" s="4">
        <v>1</v>
      </c>
      <c r="AI27" s="4">
        <v>1</v>
      </c>
      <c r="AJ27" s="4">
        <v>4</v>
      </c>
      <c r="AK27" s="4">
        <v>4</v>
      </c>
      <c r="AL27" s="4">
        <v>2</v>
      </c>
      <c r="AM27" s="4">
        <v>2</v>
      </c>
      <c r="AN27" s="4">
        <v>0</v>
      </c>
      <c r="AO27" s="4">
        <v>0</v>
      </c>
      <c r="AP27" s="3" t="s">
        <v>58</v>
      </c>
      <c r="AQ27" s="3" t="s">
        <v>58</v>
      </c>
      <c r="AS27" s="6" t="str">
        <f>HYPERLINK("https://creighton-primo.hosted.exlibrisgroup.com/primo-explore/search?tab=default_tab&amp;search_scope=EVERYTHING&amp;vid=01CRU&amp;lang=en_US&amp;offset=0&amp;query=any,contains,991004869379702656","Catalog Record")</f>
        <v>Catalog Record</v>
      </c>
      <c r="AT27" s="6" t="str">
        <f>HYPERLINK("http://www.worldcat.org/oclc/5750447","WorldCat Record")</f>
        <v>WorldCat Record</v>
      </c>
      <c r="AU27" s="3" t="s">
        <v>438</v>
      </c>
      <c r="AV27" s="3" t="s">
        <v>439</v>
      </c>
      <c r="AW27" s="3" t="s">
        <v>440</v>
      </c>
      <c r="AX27" s="3" t="s">
        <v>440</v>
      </c>
      <c r="AY27" s="3" t="s">
        <v>441</v>
      </c>
      <c r="AZ27" s="3" t="s">
        <v>73</v>
      </c>
      <c r="BB27" s="3" t="s">
        <v>442</v>
      </c>
      <c r="BC27" s="3" t="s">
        <v>443</v>
      </c>
      <c r="BD27" s="3" t="s">
        <v>444</v>
      </c>
    </row>
    <row r="28" spans="1:56" ht="45" customHeight="1" x14ac:dyDescent="0.25">
      <c r="A28" s="8" t="s">
        <v>58</v>
      </c>
      <c r="B28" s="2" t="s">
        <v>445</v>
      </c>
      <c r="C28" s="2" t="s">
        <v>446</v>
      </c>
      <c r="D28" s="2" t="s">
        <v>447</v>
      </c>
      <c r="F28" s="3" t="s">
        <v>58</v>
      </c>
      <c r="G28" s="3" t="s">
        <v>59</v>
      </c>
      <c r="H28" s="3" t="s">
        <v>58</v>
      </c>
      <c r="I28" s="3" t="s">
        <v>58</v>
      </c>
      <c r="J28" s="3" t="s">
        <v>60</v>
      </c>
      <c r="K28" s="2" t="s">
        <v>448</v>
      </c>
      <c r="L28" s="2" t="s">
        <v>449</v>
      </c>
      <c r="M28" s="3" t="s">
        <v>450</v>
      </c>
      <c r="N28" s="2" t="s">
        <v>451</v>
      </c>
      <c r="O28" s="3" t="s">
        <v>64</v>
      </c>
      <c r="P28" s="3" t="s">
        <v>452</v>
      </c>
      <c r="R28" s="3" t="s">
        <v>66</v>
      </c>
      <c r="S28" s="4">
        <v>5</v>
      </c>
      <c r="T28" s="4">
        <v>5</v>
      </c>
      <c r="U28" s="5" t="s">
        <v>394</v>
      </c>
      <c r="V28" s="5" t="s">
        <v>394</v>
      </c>
      <c r="W28" s="5" t="s">
        <v>453</v>
      </c>
      <c r="X28" s="5" t="s">
        <v>453</v>
      </c>
      <c r="Y28" s="4">
        <v>191</v>
      </c>
      <c r="Z28" s="4">
        <v>171</v>
      </c>
      <c r="AA28" s="4">
        <v>491</v>
      </c>
      <c r="AB28" s="4">
        <v>3</v>
      </c>
      <c r="AC28" s="4">
        <v>5</v>
      </c>
      <c r="AD28" s="4">
        <v>3</v>
      </c>
      <c r="AE28" s="4">
        <v>21</v>
      </c>
      <c r="AF28" s="4">
        <v>1</v>
      </c>
      <c r="AG28" s="4">
        <v>7</v>
      </c>
      <c r="AH28" s="4">
        <v>0</v>
      </c>
      <c r="AI28" s="4">
        <v>3</v>
      </c>
      <c r="AJ28" s="4">
        <v>0</v>
      </c>
      <c r="AK28" s="4">
        <v>8</v>
      </c>
      <c r="AL28" s="4">
        <v>2</v>
      </c>
      <c r="AM28" s="4">
        <v>4</v>
      </c>
      <c r="AN28" s="4">
        <v>0</v>
      </c>
      <c r="AO28" s="4">
        <v>0</v>
      </c>
      <c r="AP28" s="3" t="s">
        <v>58</v>
      </c>
      <c r="AQ28" s="3" t="s">
        <v>58</v>
      </c>
      <c r="AS28" s="6" t="str">
        <f>HYPERLINK("https://creighton-primo.hosted.exlibrisgroup.com/primo-explore/search?tab=default_tab&amp;search_scope=EVERYTHING&amp;vid=01CRU&amp;lang=en_US&amp;offset=0&amp;query=any,contains,991001171029702656","Catalog Record")</f>
        <v>Catalog Record</v>
      </c>
      <c r="AT28" s="6" t="str">
        <f>HYPERLINK("http://www.worldcat.org/oclc/16959643","WorldCat Record")</f>
        <v>WorldCat Record</v>
      </c>
      <c r="AU28" s="3" t="s">
        <v>454</v>
      </c>
      <c r="AV28" s="3" t="s">
        <v>455</v>
      </c>
      <c r="AW28" s="3" t="s">
        <v>456</v>
      </c>
      <c r="AX28" s="3" t="s">
        <v>456</v>
      </c>
      <c r="AY28" s="3" t="s">
        <v>457</v>
      </c>
      <c r="AZ28" s="3" t="s">
        <v>73</v>
      </c>
      <c r="BB28" s="3" t="s">
        <v>458</v>
      </c>
      <c r="BC28" s="3" t="s">
        <v>459</v>
      </c>
      <c r="BD28" s="3" t="s">
        <v>460</v>
      </c>
    </row>
    <row r="29" spans="1:56" ht="45" customHeight="1" x14ac:dyDescent="0.25">
      <c r="A29" s="8" t="s">
        <v>58</v>
      </c>
      <c r="B29" s="2" t="s">
        <v>461</v>
      </c>
      <c r="C29" s="2" t="s">
        <v>462</v>
      </c>
      <c r="D29" s="2" t="s">
        <v>463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60</v>
      </c>
      <c r="L29" s="2" t="s">
        <v>464</v>
      </c>
      <c r="M29" s="3" t="s">
        <v>146</v>
      </c>
      <c r="O29" s="3" t="s">
        <v>64</v>
      </c>
      <c r="P29" s="3" t="s">
        <v>465</v>
      </c>
      <c r="R29" s="3" t="s">
        <v>66</v>
      </c>
      <c r="S29" s="4">
        <v>6</v>
      </c>
      <c r="T29" s="4">
        <v>6</v>
      </c>
      <c r="U29" s="5" t="s">
        <v>466</v>
      </c>
      <c r="V29" s="5" t="s">
        <v>466</v>
      </c>
      <c r="W29" s="5" t="s">
        <v>467</v>
      </c>
      <c r="X29" s="5" t="s">
        <v>467</v>
      </c>
      <c r="Y29" s="4">
        <v>219</v>
      </c>
      <c r="Z29" s="4">
        <v>198</v>
      </c>
      <c r="AA29" s="4">
        <v>204</v>
      </c>
      <c r="AB29" s="4">
        <v>2</v>
      </c>
      <c r="AC29" s="4">
        <v>2</v>
      </c>
      <c r="AD29" s="4">
        <v>6</v>
      </c>
      <c r="AE29" s="4">
        <v>6</v>
      </c>
      <c r="AF29" s="4">
        <v>2</v>
      </c>
      <c r="AG29" s="4">
        <v>2</v>
      </c>
      <c r="AH29" s="4">
        <v>1</v>
      </c>
      <c r="AI29" s="4">
        <v>1</v>
      </c>
      <c r="AJ29" s="4">
        <v>2</v>
      </c>
      <c r="AK29" s="4">
        <v>2</v>
      </c>
      <c r="AL29" s="4">
        <v>1</v>
      </c>
      <c r="AM29" s="4">
        <v>1</v>
      </c>
      <c r="AN29" s="4">
        <v>0</v>
      </c>
      <c r="AO29" s="4">
        <v>0</v>
      </c>
      <c r="AP29" s="3" t="s">
        <v>58</v>
      </c>
      <c r="AQ29" s="3" t="s">
        <v>68</v>
      </c>
      <c r="AR29" s="6" t="str">
        <f>HYPERLINK("http://catalog.hathitrust.org/Record/009813903","HathiTrust Record")</f>
        <v>HathiTrust Record</v>
      </c>
      <c r="AS29" s="6" t="str">
        <f>HYPERLINK("https://creighton-primo.hosted.exlibrisgroup.com/primo-explore/search?tab=default_tab&amp;search_scope=EVERYTHING&amp;vid=01CRU&amp;lang=en_US&amp;offset=0&amp;query=any,contains,991003625219702656","Catalog Record")</f>
        <v>Catalog Record</v>
      </c>
      <c r="AT29" s="6" t="str">
        <f>HYPERLINK("http://www.worldcat.org/oclc/41612555","WorldCat Record")</f>
        <v>WorldCat Record</v>
      </c>
      <c r="AU29" s="3" t="s">
        <v>468</v>
      </c>
      <c r="AV29" s="3" t="s">
        <v>469</v>
      </c>
      <c r="AW29" s="3" t="s">
        <v>470</v>
      </c>
      <c r="AX29" s="3" t="s">
        <v>470</v>
      </c>
      <c r="AY29" s="3" t="s">
        <v>471</v>
      </c>
      <c r="AZ29" s="3" t="s">
        <v>73</v>
      </c>
      <c r="BB29" s="3" t="s">
        <v>472</v>
      </c>
      <c r="BC29" s="3" t="s">
        <v>473</v>
      </c>
      <c r="BD29" s="3" t="s">
        <v>474</v>
      </c>
    </row>
    <row r="30" spans="1:56" ht="45" customHeight="1" x14ac:dyDescent="0.25">
      <c r="A30" s="8" t="s">
        <v>58</v>
      </c>
      <c r="B30" s="2" t="s">
        <v>475</v>
      </c>
      <c r="C30" s="2" t="s">
        <v>476</v>
      </c>
      <c r="D30" s="2" t="s">
        <v>477</v>
      </c>
      <c r="F30" s="3" t="s">
        <v>58</v>
      </c>
      <c r="G30" s="3" t="s">
        <v>59</v>
      </c>
      <c r="H30" s="3" t="s">
        <v>58</v>
      </c>
      <c r="I30" s="3" t="s">
        <v>58</v>
      </c>
      <c r="J30" s="3" t="s">
        <v>60</v>
      </c>
      <c r="K30" s="2" t="s">
        <v>478</v>
      </c>
      <c r="L30" s="2" t="s">
        <v>479</v>
      </c>
      <c r="M30" s="3" t="s">
        <v>480</v>
      </c>
      <c r="O30" s="3" t="s">
        <v>64</v>
      </c>
      <c r="P30" s="3" t="s">
        <v>177</v>
      </c>
      <c r="R30" s="3" t="s">
        <v>66</v>
      </c>
      <c r="S30" s="4">
        <v>3</v>
      </c>
      <c r="T30" s="4">
        <v>3</v>
      </c>
      <c r="U30" s="5" t="s">
        <v>481</v>
      </c>
      <c r="V30" s="5" t="s">
        <v>481</v>
      </c>
      <c r="W30" s="5" t="s">
        <v>453</v>
      </c>
      <c r="X30" s="5" t="s">
        <v>453</v>
      </c>
      <c r="Y30" s="4">
        <v>319</v>
      </c>
      <c r="Z30" s="4">
        <v>224</v>
      </c>
      <c r="AA30" s="4">
        <v>237</v>
      </c>
      <c r="AB30" s="4">
        <v>2</v>
      </c>
      <c r="AC30" s="4">
        <v>2</v>
      </c>
      <c r="AD30" s="4">
        <v>5</v>
      </c>
      <c r="AE30" s="4">
        <v>5</v>
      </c>
      <c r="AF30" s="4">
        <v>1</v>
      </c>
      <c r="AG30" s="4">
        <v>1</v>
      </c>
      <c r="AH30" s="4">
        <v>0</v>
      </c>
      <c r="AI30" s="4">
        <v>0</v>
      </c>
      <c r="AJ30" s="4">
        <v>3</v>
      </c>
      <c r="AK30" s="4">
        <v>3</v>
      </c>
      <c r="AL30" s="4">
        <v>1</v>
      </c>
      <c r="AM30" s="4">
        <v>1</v>
      </c>
      <c r="AN30" s="4">
        <v>0</v>
      </c>
      <c r="AO30" s="4">
        <v>0</v>
      </c>
      <c r="AP30" s="3" t="s">
        <v>58</v>
      </c>
      <c r="AQ30" s="3" t="s">
        <v>58</v>
      </c>
      <c r="AS30" s="6" t="str">
        <f>HYPERLINK("https://creighton-primo.hosted.exlibrisgroup.com/primo-explore/search?tab=default_tab&amp;search_scope=EVERYTHING&amp;vid=01CRU&amp;lang=en_US&amp;offset=0&amp;query=any,contains,991005182399702656","Catalog Record")</f>
        <v>Catalog Record</v>
      </c>
      <c r="AT30" s="6" t="str">
        <f>HYPERLINK("http://www.worldcat.org/oclc/7947108","WorldCat Record")</f>
        <v>WorldCat Record</v>
      </c>
      <c r="AU30" s="3" t="s">
        <v>482</v>
      </c>
      <c r="AV30" s="3" t="s">
        <v>483</v>
      </c>
      <c r="AW30" s="3" t="s">
        <v>484</v>
      </c>
      <c r="AX30" s="3" t="s">
        <v>484</v>
      </c>
      <c r="AY30" s="3" t="s">
        <v>485</v>
      </c>
      <c r="AZ30" s="3" t="s">
        <v>73</v>
      </c>
      <c r="BB30" s="3" t="s">
        <v>486</v>
      </c>
      <c r="BC30" s="3" t="s">
        <v>487</v>
      </c>
      <c r="BD30" s="3" t="s">
        <v>488</v>
      </c>
    </row>
    <row r="31" spans="1:56" ht="45" customHeight="1" x14ac:dyDescent="0.25">
      <c r="A31" s="8" t="s">
        <v>58</v>
      </c>
      <c r="B31" s="2" t="s">
        <v>489</v>
      </c>
      <c r="C31" s="2" t="s">
        <v>490</v>
      </c>
      <c r="D31" s="2" t="s">
        <v>491</v>
      </c>
      <c r="F31" s="3" t="s">
        <v>58</v>
      </c>
      <c r="G31" s="3" t="s">
        <v>59</v>
      </c>
      <c r="H31" s="3" t="s">
        <v>58</v>
      </c>
      <c r="I31" s="3" t="s">
        <v>58</v>
      </c>
      <c r="J31" s="3" t="s">
        <v>60</v>
      </c>
      <c r="K31" s="2" t="s">
        <v>492</v>
      </c>
      <c r="L31" s="2" t="s">
        <v>493</v>
      </c>
      <c r="M31" s="3" t="s">
        <v>494</v>
      </c>
      <c r="O31" s="3" t="s">
        <v>64</v>
      </c>
      <c r="P31" s="3" t="s">
        <v>191</v>
      </c>
      <c r="Q31" s="2" t="s">
        <v>495</v>
      </c>
      <c r="R31" s="3" t="s">
        <v>66</v>
      </c>
      <c r="S31" s="4">
        <v>7</v>
      </c>
      <c r="T31" s="4">
        <v>7</v>
      </c>
      <c r="U31" s="5" t="s">
        <v>496</v>
      </c>
      <c r="V31" s="5" t="s">
        <v>496</v>
      </c>
      <c r="W31" s="5" t="s">
        <v>497</v>
      </c>
      <c r="X31" s="5" t="s">
        <v>497</v>
      </c>
      <c r="Y31" s="4">
        <v>316</v>
      </c>
      <c r="Z31" s="4">
        <v>246</v>
      </c>
      <c r="AA31" s="4">
        <v>248</v>
      </c>
      <c r="AB31" s="4">
        <v>3</v>
      </c>
      <c r="AC31" s="4">
        <v>3</v>
      </c>
      <c r="AD31" s="4">
        <v>5</v>
      </c>
      <c r="AE31" s="4">
        <v>5</v>
      </c>
      <c r="AF31" s="4">
        <v>2</v>
      </c>
      <c r="AG31" s="4">
        <v>2</v>
      </c>
      <c r="AH31" s="4">
        <v>1</v>
      </c>
      <c r="AI31" s="4">
        <v>1</v>
      </c>
      <c r="AJ31" s="4">
        <v>0</v>
      </c>
      <c r="AK31" s="4">
        <v>0</v>
      </c>
      <c r="AL31" s="4">
        <v>2</v>
      </c>
      <c r="AM31" s="4">
        <v>2</v>
      </c>
      <c r="AN31" s="4">
        <v>0</v>
      </c>
      <c r="AO31" s="4">
        <v>0</v>
      </c>
      <c r="AP31" s="3" t="s">
        <v>58</v>
      </c>
      <c r="AQ31" s="3" t="s">
        <v>68</v>
      </c>
      <c r="AR31" s="6" t="str">
        <f>HYPERLINK("http://catalog.hathitrust.org/Record/102100044","HathiTrust Record")</f>
        <v>HathiTrust Record</v>
      </c>
      <c r="AS31" s="6" t="str">
        <f>HYPERLINK("https://creighton-primo.hosted.exlibrisgroup.com/primo-explore/search?tab=default_tab&amp;search_scope=EVERYTHING&amp;vid=01CRU&amp;lang=en_US&amp;offset=0&amp;query=any,contains,991000661729702656","Catalog Record")</f>
        <v>Catalog Record</v>
      </c>
      <c r="AT31" s="6" t="str">
        <f>HYPERLINK("http://www.worldcat.org/oclc/12250422","WorldCat Record")</f>
        <v>WorldCat Record</v>
      </c>
      <c r="AU31" s="3" t="s">
        <v>498</v>
      </c>
      <c r="AV31" s="3" t="s">
        <v>499</v>
      </c>
      <c r="AW31" s="3" t="s">
        <v>500</v>
      </c>
      <c r="AX31" s="3" t="s">
        <v>500</v>
      </c>
      <c r="AY31" s="3" t="s">
        <v>501</v>
      </c>
      <c r="AZ31" s="3" t="s">
        <v>73</v>
      </c>
      <c r="BB31" s="3" t="s">
        <v>502</v>
      </c>
      <c r="BC31" s="3" t="s">
        <v>503</v>
      </c>
      <c r="BD31" s="3" t="s">
        <v>504</v>
      </c>
    </row>
    <row r="32" spans="1:56" ht="45" customHeight="1" x14ac:dyDescent="0.25">
      <c r="A32" s="8" t="s">
        <v>58</v>
      </c>
      <c r="B32" s="2" t="s">
        <v>505</v>
      </c>
      <c r="C32" s="2" t="s">
        <v>506</v>
      </c>
      <c r="D32" s="2" t="s">
        <v>507</v>
      </c>
      <c r="F32" s="3" t="s">
        <v>58</v>
      </c>
      <c r="G32" s="3" t="s">
        <v>59</v>
      </c>
      <c r="H32" s="3" t="s">
        <v>58</v>
      </c>
      <c r="I32" s="3" t="s">
        <v>58</v>
      </c>
      <c r="J32" s="3" t="s">
        <v>60</v>
      </c>
      <c r="L32" s="2" t="s">
        <v>508</v>
      </c>
      <c r="M32" s="3" t="s">
        <v>509</v>
      </c>
      <c r="O32" s="3" t="s">
        <v>64</v>
      </c>
      <c r="P32" s="3" t="s">
        <v>99</v>
      </c>
      <c r="R32" s="3" t="s">
        <v>66</v>
      </c>
      <c r="S32" s="4">
        <v>2</v>
      </c>
      <c r="T32" s="4">
        <v>2</v>
      </c>
      <c r="U32" s="5" t="s">
        <v>466</v>
      </c>
      <c r="V32" s="5" t="s">
        <v>466</v>
      </c>
      <c r="W32" s="5" t="s">
        <v>510</v>
      </c>
      <c r="X32" s="5" t="s">
        <v>510</v>
      </c>
      <c r="Y32" s="4">
        <v>312</v>
      </c>
      <c r="Z32" s="4">
        <v>222</v>
      </c>
      <c r="AA32" s="4">
        <v>223</v>
      </c>
      <c r="AB32" s="4">
        <v>2</v>
      </c>
      <c r="AC32" s="4">
        <v>2</v>
      </c>
      <c r="AD32" s="4">
        <v>6</v>
      </c>
      <c r="AE32" s="4">
        <v>6</v>
      </c>
      <c r="AF32" s="4">
        <v>3</v>
      </c>
      <c r="AG32" s="4">
        <v>3</v>
      </c>
      <c r="AH32" s="4">
        <v>2</v>
      </c>
      <c r="AI32" s="4">
        <v>2</v>
      </c>
      <c r="AJ32" s="4">
        <v>2</v>
      </c>
      <c r="AK32" s="4">
        <v>2</v>
      </c>
      <c r="AL32" s="4">
        <v>1</v>
      </c>
      <c r="AM32" s="4">
        <v>1</v>
      </c>
      <c r="AN32" s="4">
        <v>0</v>
      </c>
      <c r="AO32" s="4">
        <v>0</v>
      </c>
      <c r="AP32" s="3" t="s">
        <v>58</v>
      </c>
      <c r="AQ32" s="3" t="s">
        <v>68</v>
      </c>
      <c r="AR32" s="6" t="str">
        <f>HYPERLINK("http://catalog.hathitrust.org/Record/003101928","HathiTrust Record")</f>
        <v>HathiTrust Record</v>
      </c>
      <c r="AS32" s="6" t="str">
        <f>HYPERLINK("https://creighton-primo.hosted.exlibrisgroup.com/primo-explore/search?tab=default_tab&amp;search_scope=EVERYTHING&amp;vid=01CRU&amp;lang=en_US&amp;offset=0&amp;query=any,contains,991002530809702656","Catalog Record")</f>
        <v>Catalog Record</v>
      </c>
      <c r="AT32" s="6" t="str">
        <f>HYPERLINK("http://www.worldcat.org/oclc/32893043","WorldCat Record")</f>
        <v>WorldCat Record</v>
      </c>
      <c r="AU32" s="3" t="s">
        <v>511</v>
      </c>
      <c r="AV32" s="3" t="s">
        <v>512</v>
      </c>
      <c r="AW32" s="3" t="s">
        <v>513</v>
      </c>
      <c r="AX32" s="3" t="s">
        <v>513</v>
      </c>
      <c r="AY32" s="3" t="s">
        <v>514</v>
      </c>
      <c r="AZ32" s="3" t="s">
        <v>73</v>
      </c>
      <c r="BB32" s="3" t="s">
        <v>515</v>
      </c>
      <c r="BC32" s="3" t="s">
        <v>516</v>
      </c>
      <c r="BD32" s="3" t="s">
        <v>517</v>
      </c>
    </row>
    <row r="33" spans="1:56" ht="45" customHeight="1" x14ac:dyDescent="0.25">
      <c r="A33" s="8" t="s">
        <v>58</v>
      </c>
      <c r="B33" s="2" t="s">
        <v>518</v>
      </c>
      <c r="C33" s="2" t="s">
        <v>519</v>
      </c>
      <c r="D33" s="2" t="s">
        <v>520</v>
      </c>
      <c r="F33" s="3" t="s">
        <v>58</v>
      </c>
      <c r="G33" s="3" t="s">
        <v>59</v>
      </c>
      <c r="H33" s="3" t="s">
        <v>58</v>
      </c>
      <c r="I33" s="3" t="s">
        <v>58</v>
      </c>
      <c r="J33" s="3" t="s">
        <v>60</v>
      </c>
      <c r="L33" s="2" t="s">
        <v>521</v>
      </c>
      <c r="M33" s="3" t="s">
        <v>522</v>
      </c>
      <c r="O33" s="3" t="s">
        <v>64</v>
      </c>
      <c r="P33" s="3" t="s">
        <v>523</v>
      </c>
      <c r="Q33" s="2" t="s">
        <v>524</v>
      </c>
      <c r="R33" s="3" t="s">
        <v>66</v>
      </c>
      <c r="S33" s="4">
        <v>1</v>
      </c>
      <c r="T33" s="4">
        <v>1</v>
      </c>
      <c r="U33" s="5" t="s">
        <v>525</v>
      </c>
      <c r="V33" s="5" t="s">
        <v>525</v>
      </c>
      <c r="W33" s="5" t="s">
        <v>525</v>
      </c>
      <c r="X33" s="5" t="s">
        <v>525</v>
      </c>
      <c r="Y33" s="4">
        <v>136</v>
      </c>
      <c r="Z33" s="4">
        <v>89</v>
      </c>
      <c r="AA33" s="4">
        <v>135</v>
      </c>
      <c r="AB33" s="4">
        <v>1</v>
      </c>
      <c r="AC33" s="4">
        <v>1</v>
      </c>
      <c r="AD33" s="4">
        <v>2</v>
      </c>
      <c r="AE33" s="4">
        <v>3</v>
      </c>
      <c r="AF33" s="4">
        <v>1</v>
      </c>
      <c r="AG33" s="4">
        <v>2</v>
      </c>
      <c r="AH33" s="4">
        <v>1</v>
      </c>
      <c r="AI33" s="4">
        <v>2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3" t="s">
        <v>58</v>
      </c>
      <c r="AQ33" s="3" t="s">
        <v>68</v>
      </c>
      <c r="AR33" s="6" t="str">
        <f>HYPERLINK("http://catalog.hathitrust.org/Record/005557972","HathiTrust Record")</f>
        <v>HathiTrust Record</v>
      </c>
      <c r="AS33" s="6" t="str">
        <f>HYPERLINK("https://creighton-primo.hosted.exlibrisgroup.com/primo-explore/search?tab=default_tab&amp;search_scope=EVERYTHING&amp;vid=01CRU&amp;lang=en_US&amp;offset=0&amp;query=any,contains,991005146219702656","Catalog Record")</f>
        <v>Catalog Record</v>
      </c>
      <c r="AT33" s="6" t="str">
        <f>HYPERLINK("http://www.worldcat.org/oclc/77011606","WorldCat Record")</f>
        <v>WorldCat Record</v>
      </c>
      <c r="AU33" s="3" t="s">
        <v>526</v>
      </c>
      <c r="AV33" s="3" t="s">
        <v>527</v>
      </c>
      <c r="AW33" s="3" t="s">
        <v>528</v>
      </c>
      <c r="AX33" s="3" t="s">
        <v>528</v>
      </c>
      <c r="AY33" s="3" t="s">
        <v>529</v>
      </c>
      <c r="AZ33" s="3" t="s">
        <v>73</v>
      </c>
      <c r="BB33" s="3" t="s">
        <v>530</v>
      </c>
      <c r="BC33" s="3" t="s">
        <v>531</v>
      </c>
      <c r="BD33" s="3" t="s">
        <v>532</v>
      </c>
    </row>
    <row r="34" spans="1:56" ht="45" customHeight="1" x14ac:dyDescent="0.25">
      <c r="A34" s="8" t="s">
        <v>58</v>
      </c>
      <c r="B34" s="2" t="s">
        <v>533</v>
      </c>
      <c r="C34" s="2" t="s">
        <v>534</v>
      </c>
      <c r="D34" s="2" t="s">
        <v>535</v>
      </c>
      <c r="F34" s="3" t="s">
        <v>58</v>
      </c>
      <c r="G34" s="3" t="s">
        <v>59</v>
      </c>
      <c r="H34" s="3" t="s">
        <v>58</v>
      </c>
      <c r="I34" s="3" t="s">
        <v>58</v>
      </c>
      <c r="J34" s="3" t="s">
        <v>60</v>
      </c>
      <c r="K34" s="2" t="s">
        <v>536</v>
      </c>
      <c r="L34" s="2" t="s">
        <v>537</v>
      </c>
      <c r="M34" s="3" t="s">
        <v>538</v>
      </c>
      <c r="O34" s="3" t="s">
        <v>64</v>
      </c>
      <c r="P34" s="3" t="s">
        <v>99</v>
      </c>
      <c r="R34" s="3" t="s">
        <v>66</v>
      </c>
      <c r="S34" s="4">
        <v>19</v>
      </c>
      <c r="T34" s="4">
        <v>19</v>
      </c>
      <c r="U34" s="5" t="s">
        <v>466</v>
      </c>
      <c r="V34" s="5" t="s">
        <v>466</v>
      </c>
      <c r="W34" s="5" t="s">
        <v>539</v>
      </c>
      <c r="X34" s="5" t="s">
        <v>539</v>
      </c>
      <c r="Y34" s="4">
        <v>627</v>
      </c>
      <c r="Z34" s="4">
        <v>472</v>
      </c>
      <c r="AA34" s="4">
        <v>477</v>
      </c>
      <c r="AB34" s="4">
        <v>7</v>
      </c>
      <c r="AC34" s="4">
        <v>7</v>
      </c>
      <c r="AD34" s="4">
        <v>20</v>
      </c>
      <c r="AE34" s="4">
        <v>20</v>
      </c>
      <c r="AF34" s="4">
        <v>9</v>
      </c>
      <c r="AG34" s="4">
        <v>9</v>
      </c>
      <c r="AH34" s="4">
        <v>1</v>
      </c>
      <c r="AI34" s="4">
        <v>1</v>
      </c>
      <c r="AJ34" s="4">
        <v>8</v>
      </c>
      <c r="AK34" s="4">
        <v>8</v>
      </c>
      <c r="AL34" s="4">
        <v>6</v>
      </c>
      <c r="AM34" s="4">
        <v>6</v>
      </c>
      <c r="AN34" s="4">
        <v>0</v>
      </c>
      <c r="AO34" s="4">
        <v>0</v>
      </c>
      <c r="AP34" s="3" t="s">
        <v>58</v>
      </c>
      <c r="AQ34" s="3" t="s">
        <v>58</v>
      </c>
      <c r="AS34" s="6" t="str">
        <f>HYPERLINK("https://creighton-primo.hosted.exlibrisgroup.com/primo-explore/search?tab=default_tab&amp;search_scope=EVERYTHING&amp;vid=01CRU&amp;lang=en_US&amp;offset=0&amp;query=any,contains,991001626469702656","Catalog Record")</f>
        <v>Catalog Record</v>
      </c>
      <c r="AT34" s="6" t="str">
        <f>HYPERLINK("http://www.worldcat.org/oclc/20852988","WorldCat Record")</f>
        <v>WorldCat Record</v>
      </c>
      <c r="AU34" s="3" t="s">
        <v>540</v>
      </c>
      <c r="AV34" s="3" t="s">
        <v>541</v>
      </c>
      <c r="AW34" s="3" t="s">
        <v>542</v>
      </c>
      <c r="AX34" s="3" t="s">
        <v>542</v>
      </c>
      <c r="AY34" s="3" t="s">
        <v>543</v>
      </c>
      <c r="AZ34" s="3" t="s">
        <v>73</v>
      </c>
      <c r="BB34" s="3" t="s">
        <v>544</v>
      </c>
      <c r="BC34" s="3" t="s">
        <v>545</v>
      </c>
      <c r="BD34" s="3" t="s">
        <v>546</v>
      </c>
    </row>
    <row r="35" spans="1:56" ht="45" customHeight="1" x14ac:dyDescent="0.25">
      <c r="A35" s="8" t="s">
        <v>58</v>
      </c>
      <c r="B35" s="2" t="s">
        <v>547</v>
      </c>
      <c r="C35" s="2" t="s">
        <v>548</v>
      </c>
      <c r="D35" s="2" t="s">
        <v>549</v>
      </c>
      <c r="E35" s="3" t="s">
        <v>550</v>
      </c>
      <c r="F35" s="3" t="s">
        <v>58</v>
      </c>
      <c r="G35" s="3" t="s">
        <v>59</v>
      </c>
      <c r="H35" s="3" t="s">
        <v>58</v>
      </c>
      <c r="I35" s="3" t="s">
        <v>58</v>
      </c>
      <c r="J35" s="3" t="s">
        <v>60</v>
      </c>
      <c r="L35" s="2" t="s">
        <v>551</v>
      </c>
      <c r="M35" s="3" t="s">
        <v>552</v>
      </c>
      <c r="O35" s="3" t="s">
        <v>64</v>
      </c>
      <c r="P35" s="3" t="s">
        <v>250</v>
      </c>
      <c r="R35" s="3" t="s">
        <v>66</v>
      </c>
      <c r="S35" s="4">
        <v>4</v>
      </c>
      <c r="T35" s="4">
        <v>4</v>
      </c>
      <c r="U35" s="5" t="s">
        <v>553</v>
      </c>
      <c r="V35" s="5" t="s">
        <v>553</v>
      </c>
      <c r="W35" s="5" t="s">
        <v>554</v>
      </c>
      <c r="X35" s="5" t="s">
        <v>554</v>
      </c>
      <c r="Y35" s="4">
        <v>337</v>
      </c>
      <c r="Z35" s="4">
        <v>282</v>
      </c>
      <c r="AA35" s="4">
        <v>284</v>
      </c>
      <c r="AB35" s="4">
        <v>4</v>
      </c>
      <c r="AC35" s="4">
        <v>4</v>
      </c>
      <c r="AD35" s="4">
        <v>15</v>
      </c>
      <c r="AE35" s="4">
        <v>15</v>
      </c>
      <c r="AF35" s="4">
        <v>4</v>
      </c>
      <c r="AG35" s="4">
        <v>4</v>
      </c>
      <c r="AH35" s="4">
        <v>3</v>
      </c>
      <c r="AI35" s="4">
        <v>3</v>
      </c>
      <c r="AJ35" s="4">
        <v>9</v>
      </c>
      <c r="AK35" s="4">
        <v>9</v>
      </c>
      <c r="AL35" s="4">
        <v>3</v>
      </c>
      <c r="AM35" s="4">
        <v>3</v>
      </c>
      <c r="AN35" s="4">
        <v>0</v>
      </c>
      <c r="AO35" s="4">
        <v>0</v>
      </c>
      <c r="AP35" s="3" t="s">
        <v>58</v>
      </c>
      <c r="AQ35" s="3" t="s">
        <v>68</v>
      </c>
      <c r="AR35" s="6" t="str">
        <f>HYPERLINK("http://catalog.hathitrust.org/Record/001833707","HathiTrust Record")</f>
        <v>HathiTrust Record</v>
      </c>
      <c r="AS35" s="6" t="str">
        <f>HYPERLINK("https://creighton-primo.hosted.exlibrisgroup.com/primo-explore/search?tab=default_tab&amp;search_scope=EVERYTHING&amp;vid=01CRU&amp;lang=en_US&amp;offset=0&amp;query=any,contains,991001354389702656","Catalog Record")</f>
        <v>Catalog Record</v>
      </c>
      <c r="AT35" s="6" t="str">
        <f>HYPERLINK("http://www.worldcat.org/oclc/18463643","WorldCat Record")</f>
        <v>WorldCat Record</v>
      </c>
      <c r="AU35" s="3" t="s">
        <v>555</v>
      </c>
      <c r="AV35" s="3" t="s">
        <v>556</v>
      </c>
      <c r="AW35" s="3" t="s">
        <v>557</v>
      </c>
      <c r="AX35" s="3" t="s">
        <v>557</v>
      </c>
      <c r="AY35" s="3" t="s">
        <v>558</v>
      </c>
      <c r="AZ35" s="3" t="s">
        <v>73</v>
      </c>
      <c r="BB35" s="3" t="s">
        <v>559</v>
      </c>
      <c r="BC35" s="3" t="s">
        <v>560</v>
      </c>
      <c r="BD35" s="3" t="s">
        <v>561</v>
      </c>
    </row>
    <row r="36" spans="1:56" ht="45" customHeight="1" x14ac:dyDescent="0.25">
      <c r="A36" s="8" t="s">
        <v>58</v>
      </c>
      <c r="B36" s="2" t="s">
        <v>562</v>
      </c>
      <c r="C36" s="2" t="s">
        <v>563</v>
      </c>
      <c r="D36" s="2" t="s">
        <v>564</v>
      </c>
      <c r="F36" s="3" t="s">
        <v>58</v>
      </c>
      <c r="G36" s="3" t="s">
        <v>59</v>
      </c>
      <c r="H36" s="3" t="s">
        <v>58</v>
      </c>
      <c r="I36" s="3" t="s">
        <v>58</v>
      </c>
      <c r="J36" s="3" t="s">
        <v>60</v>
      </c>
      <c r="K36" s="2" t="s">
        <v>565</v>
      </c>
      <c r="L36" s="2" t="s">
        <v>566</v>
      </c>
      <c r="M36" s="3" t="s">
        <v>450</v>
      </c>
      <c r="N36" s="2" t="s">
        <v>567</v>
      </c>
      <c r="O36" s="3" t="s">
        <v>64</v>
      </c>
      <c r="P36" s="3" t="s">
        <v>177</v>
      </c>
      <c r="R36" s="3" t="s">
        <v>66</v>
      </c>
      <c r="S36" s="4">
        <v>6</v>
      </c>
      <c r="T36" s="4">
        <v>6</v>
      </c>
      <c r="U36" s="5" t="s">
        <v>553</v>
      </c>
      <c r="V36" s="5" t="s">
        <v>553</v>
      </c>
      <c r="W36" s="5" t="s">
        <v>568</v>
      </c>
      <c r="X36" s="5" t="s">
        <v>568</v>
      </c>
      <c r="Y36" s="4">
        <v>138</v>
      </c>
      <c r="Z36" s="4">
        <v>87</v>
      </c>
      <c r="AA36" s="4">
        <v>915</v>
      </c>
      <c r="AB36" s="4">
        <v>1</v>
      </c>
      <c r="AC36" s="4">
        <v>28</v>
      </c>
      <c r="AD36" s="4">
        <v>3</v>
      </c>
      <c r="AE36" s="4">
        <v>36</v>
      </c>
      <c r="AF36" s="4">
        <v>2</v>
      </c>
      <c r="AG36" s="4">
        <v>10</v>
      </c>
      <c r="AH36" s="4">
        <v>0</v>
      </c>
      <c r="AI36" s="4">
        <v>6</v>
      </c>
      <c r="AJ36" s="4">
        <v>2</v>
      </c>
      <c r="AK36" s="4">
        <v>13</v>
      </c>
      <c r="AL36" s="4">
        <v>0</v>
      </c>
      <c r="AM36" s="4">
        <v>13</v>
      </c>
      <c r="AN36" s="4">
        <v>0</v>
      </c>
      <c r="AO36" s="4">
        <v>0</v>
      </c>
      <c r="AP36" s="3" t="s">
        <v>58</v>
      </c>
      <c r="AQ36" s="3" t="s">
        <v>58</v>
      </c>
      <c r="AS36" s="6" t="str">
        <f>HYPERLINK("https://creighton-primo.hosted.exlibrisgroup.com/primo-explore/search?tab=default_tab&amp;search_scope=EVERYTHING&amp;vid=01CRU&amp;lang=en_US&amp;offset=0&amp;query=any,contains,991000961959702656","Catalog Record")</f>
        <v>Catalog Record</v>
      </c>
      <c r="AT36" s="6" t="str">
        <f>HYPERLINK("http://www.worldcat.org/oclc/14819193","WorldCat Record")</f>
        <v>WorldCat Record</v>
      </c>
      <c r="AU36" s="3" t="s">
        <v>569</v>
      </c>
      <c r="AV36" s="3" t="s">
        <v>570</v>
      </c>
      <c r="AW36" s="3" t="s">
        <v>571</v>
      </c>
      <c r="AX36" s="3" t="s">
        <v>571</v>
      </c>
      <c r="AY36" s="3" t="s">
        <v>572</v>
      </c>
      <c r="AZ36" s="3" t="s">
        <v>73</v>
      </c>
      <c r="BB36" s="3" t="s">
        <v>573</v>
      </c>
      <c r="BC36" s="3" t="s">
        <v>574</v>
      </c>
      <c r="BD36" s="3" t="s">
        <v>575</v>
      </c>
    </row>
    <row r="37" spans="1:56" ht="45" customHeight="1" x14ac:dyDescent="0.25">
      <c r="A37" s="8" t="s">
        <v>58</v>
      </c>
      <c r="B37" s="2" t="s">
        <v>576</v>
      </c>
      <c r="C37" s="2" t="s">
        <v>577</v>
      </c>
      <c r="D37" s="2" t="s">
        <v>578</v>
      </c>
      <c r="F37" s="3" t="s">
        <v>58</v>
      </c>
      <c r="G37" s="3" t="s">
        <v>59</v>
      </c>
      <c r="H37" s="3" t="s">
        <v>58</v>
      </c>
      <c r="I37" s="3" t="s">
        <v>58</v>
      </c>
      <c r="J37" s="3" t="s">
        <v>60</v>
      </c>
      <c r="L37" s="2" t="s">
        <v>579</v>
      </c>
      <c r="M37" s="3" t="s">
        <v>580</v>
      </c>
      <c r="O37" s="3" t="s">
        <v>64</v>
      </c>
      <c r="P37" s="3" t="s">
        <v>177</v>
      </c>
      <c r="Q37" s="2" t="s">
        <v>581</v>
      </c>
      <c r="R37" s="3" t="s">
        <v>66</v>
      </c>
      <c r="S37" s="4">
        <v>2</v>
      </c>
      <c r="T37" s="4">
        <v>2</v>
      </c>
      <c r="U37" s="5" t="s">
        <v>582</v>
      </c>
      <c r="V37" s="5" t="s">
        <v>582</v>
      </c>
      <c r="W37" s="5" t="s">
        <v>583</v>
      </c>
      <c r="X37" s="5" t="s">
        <v>583</v>
      </c>
      <c r="Y37" s="4">
        <v>308</v>
      </c>
      <c r="Z37" s="4">
        <v>222</v>
      </c>
      <c r="AA37" s="4">
        <v>249</v>
      </c>
      <c r="AB37" s="4">
        <v>2</v>
      </c>
      <c r="AC37" s="4">
        <v>2</v>
      </c>
      <c r="AD37" s="4">
        <v>12</v>
      </c>
      <c r="AE37" s="4">
        <v>13</v>
      </c>
      <c r="AF37" s="4">
        <v>6</v>
      </c>
      <c r="AG37" s="4">
        <v>7</v>
      </c>
      <c r="AH37" s="4">
        <v>0</v>
      </c>
      <c r="AI37" s="4">
        <v>0</v>
      </c>
      <c r="AJ37" s="4">
        <v>9</v>
      </c>
      <c r="AK37" s="4">
        <v>9</v>
      </c>
      <c r="AL37" s="4">
        <v>1</v>
      </c>
      <c r="AM37" s="4">
        <v>1</v>
      </c>
      <c r="AN37" s="4">
        <v>0</v>
      </c>
      <c r="AO37" s="4">
        <v>0</v>
      </c>
      <c r="AP37" s="3" t="s">
        <v>58</v>
      </c>
      <c r="AQ37" s="3" t="s">
        <v>58</v>
      </c>
      <c r="AS37" s="6" t="str">
        <f>HYPERLINK("https://creighton-primo.hosted.exlibrisgroup.com/primo-explore/search?tab=default_tab&amp;search_scope=EVERYTHING&amp;vid=01CRU&amp;lang=en_US&amp;offset=0&amp;query=any,contains,991001236829702656","Catalog Record")</f>
        <v>Catalog Record</v>
      </c>
      <c r="AT37" s="6" t="str">
        <f>HYPERLINK("http://www.worldcat.org/oclc/17551656","WorldCat Record")</f>
        <v>WorldCat Record</v>
      </c>
      <c r="AU37" s="3" t="s">
        <v>584</v>
      </c>
      <c r="AV37" s="3" t="s">
        <v>585</v>
      </c>
      <c r="AW37" s="3" t="s">
        <v>586</v>
      </c>
      <c r="AX37" s="3" t="s">
        <v>586</v>
      </c>
      <c r="AY37" s="3" t="s">
        <v>587</v>
      </c>
      <c r="AZ37" s="3" t="s">
        <v>73</v>
      </c>
      <c r="BB37" s="3" t="s">
        <v>588</v>
      </c>
      <c r="BC37" s="3" t="s">
        <v>589</v>
      </c>
      <c r="BD37" s="3" t="s">
        <v>590</v>
      </c>
    </row>
    <row r="38" spans="1:56" ht="45" customHeight="1" x14ac:dyDescent="0.25">
      <c r="A38" s="8" t="s">
        <v>58</v>
      </c>
      <c r="B38" s="2" t="s">
        <v>591</v>
      </c>
      <c r="C38" s="2" t="s">
        <v>592</v>
      </c>
      <c r="D38" s="2" t="s">
        <v>593</v>
      </c>
      <c r="F38" s="3" t="s">
        <v>58</v>
      </c>
      <c r="G38" s="3" t="s">
        <v>59</v>
      </c>
      <c r="H38" s="3" t="s">
        <v>58</v>
      </c>
      <c r="I38" s="3" t="s">
        <v>58</v>
      </c>
      <c r="J38" s="3" t="s">
        <v>60</v>
      </c>
      <c r="L38" s="2" t="s">
        <v>594</v>
      </c>
      <c r="M38" s="3" t="s">
        <v>378</v>
      </c>
      <c r="O38" s="3" t="s">
        <v>64</v>
      </c>
      <c r="P38" s="3" t="s">
        <v>191</v>
      </c>
      <c r="R38" s="3" t="s">
        <v>66</v>
      </c>
      <c r="S38" s="4">
        <v>3</v>
      </c>
      <c r="T38" s="4">
        <v>3</v>
      </c>
      <c r="U38" s="5" t="s">
        <v>595</v>
      </c>
      <c r="V38" s="5" t="s">
        <v>595</v>
      </c>
      <c r="W38" s="5" t="s">
        <v>453</v>
      </c>
      <c r="X38" s="5" t="s">
        <v>453</v>
      </c>
      <c r="Y38" s="4">
        <v>217</v>
      </c>
      <c r="Z38" s="4">
        <v>186</v>
      </c>
      <c r="AA38" s="4">
        <v>276</v>
      </c>
      <c r="AB38" s="4">
        <v>2</v>
      </c>
      <c r="AC38" s="4">
        <v>2</v>
      </c>
      <c r="AD38" s="4">
        <v>8</v>
      </c>
      <c r="AE38" s="4">
        <v>9</v>
      </c>
      <c r="AF38" s="4">
        <v>3</v>
      </c>
      <c r="AG38" s="4">
        <v>4</v>
      </c>
      <c r="AH38" s="4">
        <v>1</v>
      </c>
      <c r="AI38" s="4">
        <v>1</v>
      </c>
      <c r="AJ38" s="4">
        <v>5</v>
      </c>
      <c r="AK38" s="4">
        <v>5</v>
      </c>
      <c r="AL38" s="4">
        <v>1</v>
      </c>
      <c r="AM38" s="4">
        <v>1</v>
      </c>
      <c r="AN38" s="4">
        <v>0</v>
      </c>
      <c r="AO38" s="4">
        <v>0</v>
      </c>
      <c r="AP38" s="3" t="s">
        <v>58</v>
      </c>
      <c r="AQ38" s="3" t="s">
        <v>68</v>
      </c>
      <c r="AR38" s="6" t="str">
        <f>HYPERLINK("http://catalog.hathitrust.org/Record/000321556","HathiTrust Record")</f>
        <v>HathiTrust Record</v>
      </c>
      <c r="AS38" s="6" t="str">
        <f>HYPERLINK("https://creighton-primo.hosted.exlibrisgroup.com/primo-explore/search?tab=default_tab&amp;search_scope=EVERYTHING&amp;vid=01CRU&amp;lang=en_US&amp;offset=0&amp;query=any,contains,991000259219702656","Catalog Record")</f>
        <v>Catalog Record</v>
      </c>
      <c r="AT38" s="6" t="str">
        <f>HYPERLINK("http://www.worldcat.org/oclc/9785495","WorldCat Record")</f>
        <v>WorldCat Record</v>
      </c>
      <c r="AU38" s="3" t="s">
        <v>596</v>
      </c>
      <c r="AV38" s="3" t="s">
        <v>597</v>
      </c>
      <c r="AW38" s="3" t="s">
        <v>598</v>
      </c>
      <c r="AX38" s="3" t="s">
        <v>598</v>
      </c>
      <c r="AY38" s="3" t="s">
        <v>599</v>
      </c>
      <c r="AZ38" s="3" t="s">
        <v>73</v>
      </c>
      <c r="BB38" s="3" t="s">
        <v>600</v>
      </c>
      <c r="BC38" s="3" t="s">
        <v>601</v>
      </c>
      <c r="BD38" s="3" t="s">
        <v>602</v>
      </c>
    </row>
    <row r="39" spans="1:56" ht="45" customHeight="1" x14ac:dyDescent="0.25">
      <c r="A39" s="8" t="s">
        <v>58</v>
      </c>
      <c r="B39" s="2" t="s">
        <v>603</v>
      </c>
      <c r="C39" s="2" t="s">
        <v>604</v>
      </c>
      <c r="D39" s="2" t="s">
        <v>605</v>
      </c>
      <c r="F39" s="3" t="s">
        <v>58</v>
      </c>
      <c r="G39" s="3" t="s">
        <v>59</v>
      </c>
      <c r="H39" s="3" t="s">
        <v>58</v>
      </c>
      <c r="I39" s="3" t="s">
        <v>58</v>
      </c>
      <c r="J39" s="3" t="s">
        <v>60</v>
      </c>
      <c r="L39" s="2" t="s">
        <v>606</v>
      </c>
      <c r="M39" s="3" t="s">
        <v>538</v>
      </c>
      <c r="O39" s="3" t="s">
        <v>64</v>
      </c>
      <c r="P39" s="3" t="s">
        <v>114</v>
      </c>
      <c r="R39" s="3" t="s">
        <v>66</v>
      </c>
      <c r="S39" s="4">
        <v>6</v>
      </c>
      <c r="T39" s="4">
        <v>6</v>
      </c>
      <c r="U39" s="5" t="s">
        <v>607</v>
      </c>
      <c r="V39" s="5" t="s">
        <v>607</v>
      </c>
      <c r="W39" s="5" t="s">
        <v>608</v>
      </c>
      <c r="X39" s="5" t="s">
        <v>608</v>
      </c>
      <c r="Y39" s="4">
        <v>519</v>
      </c>
      <c r="Z39" s="4">
        <v>357</v>
      </c>
      <c r="AA39" s="4">
        <v>616</v>
      </c>
      <c r="AB39" s="4">
        <v>3</v>
      </c>
      <c r="AC39" s="4">
        <v>4</v>
      </c>
      <c r="AD39" s="4">
        <v>18</v>
      </c>
      <c r="AE39" s="4">
        <v>26</v>
      </c>
      <c r="AF39" s="4">
        <v>6</v>
      </c>
      <c r="AG39" s="4">
        <v>9</v>
      </c>
      <c r="AH39" s="4">
        <v>4</v>
      </c>
      <c r="AI39" s="4">
        <v>5</v>
      </c>
      <c r="AJ39" s="4">
        <v>10</v>
      </c>
      <c r="AK39" s="4">
        <v>14</v>
      </c>
      <c r="AL39" s="4">
        <v>2</v>
      </c>
      <c r="AM39" s="4">
        <v>3</v>
      </c>
      <c r="AN39" s="4">
        <v>0</v>
      </c>
      <c r="AO39" s="4">
        <v>0</v>
      </c>
      <c r="AP39" s="3" t="s">
        <v>58</v>
      </c>
      <c r="AQ39" s="3" t="s">
        <v>58</v>
      </c>
      <c r="AS39" s="6" t="str">
        <f>HYPERLINK("https://creighton-primo.hosted.exlibrisgroup.com/primo-explore/search?tab=default_tab&amp;search_scope=EVERYTHING&amp;vid=01CRU&amp;lang=en_US&amp;offset=0&amp;query=any,contains,991001597599702656","Catalog Record")</f>
        <v>Catalog Record</v>
      </c>
      <c r="AT39" s="6" t="str">
        <f>HYPERLINK("http://www.worldcat.org/oclc/20630532","WorldCat Record")</f>
        <v>WorldCat Record</v>
      </c>
      <c r="AU39" s="3" t="s">
        <v>609</v>
      </c>
      <c r="AV39" s="3" t="s">
        <v>610</v>
      </c>
      <c r="AW39" s="3" t="s">
        <v>611</v>
      </c>
      <c r="AX39" s="3" t="s">
        <v>611</v>
      </c>
      <c r="AY39" s="3" t="s">
        <v>612</v>
      </c>
      <c r="AZ39" s="3" t="s">
        <v>73</v>
      </c>
      <c r="BB39" s="3" t="s">
        <v>613</v>
      </c>
      <c r="BC39" s="3" t="s">
        <v>614</v>
      </c>
      <c r="BD39" s="3" t="s">
        <v>615</v>
      </c>
    </row>
    <row r="40" spans="1:56" ht="45" customHeight="1" x14ac:dyDescent="0.25">
      <c r="A40" s="8" t="s">
        <v>58</v>
      </c>
      <c r="B40" s="2" t="s">
        <v>616</v>
      </c>
      <c r="C40" s="2" t="s">
        <v>617</v>
      </c>
      <c r="D40" s="2" t="s">
        <v>618</v>
      </c>
      <c r="F40" s="3" t="s">
        <v>58</v>
      </c>
      <c r="G40" s="3" t="s">
        <v>59</v>
      </c>
      <c r="H40" s="3" t="s">
        <v>58</v>
      </c>
      <c r="I40" s="3" t="s">
        <v>58</v>
      </c>
      <c r="J40" s="3" t="s">
        <v>60</v>
      </c>
      <c r="K40" s="2" t="s">
        <v>619</v>
      </c>
      <c r="L40" s="2" t="s">
        <v>620</v>
      </c>
      <c r="M40" s="3" t="s">
        <v>306</v>
      </c>
      <c r="O40" s="3" t="s">
        <v>64</v>
      </c>
      <c r="P40" s="3" t="s">
        <v>99</v>
      </c>
      <c r="R40" s="3" t="s">
        <v>66</v>
      </c>
      <c r="S40" s="4">
        <v>2</v>
      </c>
      <c r="T40" s="4">
        <v>2</v>
      </c>
      <c r="U40" s="5" t="s">
        <v>621</v>
      </c>
      <c r="V40" s="5" t="s">
        <v>621</v>
      </c>
      <c r="W40" s="5" t="s">
        <v>622</v>
      </c>
      <c r="X40" s="5" t="s">
        <v>622</v>
      </c>
      <c r="Y40" s="4">
        <v>221</v>
      </c>
      <c r="Z40" s="4">
        <v>200</v>
      </c>
      <c r="AA40" s="4">
        <v>208</v>
      </c>
      <c r="AB40" s="4">
        <v>2</v>
      </c>
      <c r="AC40" s="4">
        <v>2</v>
      </c>
      <c r="AD40" s="4">
        <v>4</v>
      </c>
      <c r="AE40" s="4">
        <v>4</v>
      </c>
      <c r="AF40" s="4">
        <v>3</v>
      </c>
      <c r="AG40" s="4">
        <v>3</v>
      </c>
      <c r="AH40" s="4">
        <v>0</v>
      </c>
      <c r="AI40" s="4">
        <v>0</v>
      </c>
      <c r="AJ40" s="4">
        <v>3</v>
      </c>
      <c r="AK40" s="4">
        <v>3</v>
      </c>
      <c r="AL40" s="4">
        <v>0</v>
      </c>
      <c r="AM40" s="4">
        <v>0</v>
      </c>
      <c r="AN40" s="4">
        <v>0</v>
      </c>
      <c r="AO40" s="4">
        <v>0</v>
      </c>
      <c r="AP40" s="3" t="s">
        <v>58</v>
      </c>
      <c r="AQ40" s="3" t="s">
        <v>68</v>
      </c>
      <c r="AR40" s="6" t="str">
        <f>HYPERLINK("http://catalog.hathitrust.org/Record/001570353","HathiTrust Record")</f>
        <v>HathiTrust Record</v>
      </c>
      <c r="AS40" s="6" t="str">
        <f>HYPERLINK("https://creighton-primo.hosted.exlibrisgroup.com/primo-explore/search?tab=default_tab&amp;search_scope=EVERYTHING&amp;vid=01CRU&amp;lang=en_US&amp;offset=0&amp;query=any,contains,991003329139702656","Catalog Record")</f>
        <v>Catalog Record</v>
      </c>
      <c r="AT40" s="6" t="str">
        <f>HYPERLINK("http://www.worldcat.org/oclc/858913","WorldCat Record")</f>
        <v>WorldCat Record</v>
      </c>
      <c r="AU40" s="3" t="s">
        <v>623</v>
      </c>
      <c r="AV40" s="3" t="s">
        <v>624</v>
      </c>
      <c r="AW40" s="3" t="s">
        <v>625</v>
      </c>
      <c r="AX40" s="3" t="s">
        <v>625</v>
      </c>
      <c r="AY40" s="3" t="s">
        <v>626</v>
      </c>
      <c r="AZ40" s="3" t="s">
        <v>73</v>
      </c>
      <c r="BB40" s="3" t="s">
        <v>627</v>
      </c>
      <c r="BC40" s="3" t="s">
        <v>628</v>
      </c>
      <c r="BD40" s="3" t="s">
        <v>629</v>
      </c>
    </row>
    <row r="41" spans="1:56" ht="45" customHeight="1" x14ac:dyDescent="0.25">
      <c r="A41" s="8" t="s">
        <v>58</v>
      </c>
      <c r="B41" s="2" t="s">
        <v>630</v>
      </c>
      <c r="C41" s="2" t="s">
        <v>631</v>
      </c>
      <c r="D41" s="2" t="s">
        <v>632</v>
      </c>
      <c r="E41" s="3" t="s">
        <v>633</v>
      </c>
      <c r="F41" s="3" t="s">
        <v>68</v>
      </c>
      <c r="G41" s="3" t="s">
        <v>59</v>
      </c>
      <c r="H41" s="3" t="s">
        <v>68</v>
      </c>
      <c r="I41" s="3" t="s">
        <v>58</v>
      </c>
      <c r="J41" s="3" t="s">
        <v>60</v>
      </c>
      <c r="L41" s="2" t="s">
        <v>634</v>
      </c>
      <c r="M41" s="3" t="s">
        <v>291</v>
      </c>
      <c r="N41" s="2" t="s">
        <v>635</v>
      </c>
      <c r="O41" s="3" t="s">
        <v>64</v>
      </c>
      <c r="P41" s="3" t="s">
        <v>636</v>
      </c>
      <c r="R41" s="3" t="s">
        <v>66</v>
      </c>
      <c r="S41" s="4">
        <v>3</v>
      </c>
      <c r="T41" s="4">
        <v>19</v>
      </c>
      <c r="U41" s="5" t="s">
        <v>582</v>
      </c>
      <c r="V41" s="5" t="s">
        <v>637</v>
      </c>
      <c r="W41" s="5" t="s">
        <v>453</v>
      </c>
      <c r="X41" s="5" t="s">
        <v>453</v>
      </c>
      <c r="Y41" s="4">
        <v>111</v>
      </c>
      <c r="Z41" s="4">
        <v>86</v>
      </c>
      <c r="AA41" s="4">
        <v>202</v>
      </c>
      <c r="AB41" s="4">
        <v>3</v>
      </c>
      <c r="AC41" s="4">
        <v>5</v>
      </c>
      <c r="AD41" s="4">
        <v>3</v>
      </c>
      <c r="AE41" s="4">
        <v>9</v>
      </c>
      <c r="AF41" s="4">
        <v>0</v>
      </c>
      <c r="AG41" s="4">
        <v>0</v>
      </c>
      <c r="AH41" s="4">
        <v>1</v>
      </c>
      <c r="AI41" s="4">
        <v>2</v>
      </c>
      <c r="AJ41" s="4">
        <v>2</v>
      </c>
      <c r="AK41" s="4">
        <v>5</v>
      </c>
      <c r="AL41" s="4">
        <v>1</v>
      </c>
      <c r="AM41" s="4">
        <v>3</v>
      </c>
      <c r="AN41" s="4">
        <v>0</v>
      </c>
      <c r="AO41" s="4">
        <v>0</v>
      </c>
      <c r="AP41" s="3" t="s">
        <v>58</v>
      </c>
      <c r="AQ41" s="3" t="s">
        <v>68</v>
      </c>
      <c r="AR41" s="6" t="str">
        <f>HYPERLINK("http://catalog.hathitrust.org/Record/000268203","HathiTrust Record")</f>
        <v>HathiTrust Record</v>
      </c>
      <c r="AS41" s="6" t="str">
        <f>HYPERLINK("https://creighton-primo.hosted.exlibrisgroup.com/primo-explore/search?tab=default_tab&amp;search_scope=EVERYTHING&amp;vid=01CRU&amp;lang=en_US&amp;offset=0&amp;query=any,contains,991001784719702656","Catalog Record")</f>
        <v>Catalog Record</v>
      </c>
      <c r="AT41" s="6" t="str">
        <f>HYPERLINK("http://www.worldcat.org/oclc/7930984","WorldCat Record")</f>
        <v>WorldCat Record</v>
      </c>
      <c r="AU41" s="3" t="s">
        <v>638</v>
      </c>
      <c r="AV41" s="3" t="s">
        <v>639</v>
      </c>
      <c r="AW41" s="3" t="s">
        <v>640</v>
      </c>
      <c r="AX41" s="3" t="s">
        <v>640</v>
      </c>
      <c r="AY41" s="3" t="s">
        <v>641</v>
      </c>
      <c r="AZ41" s="3" t="s">
        <v>73</v>
      </c>
      <c r="BB41" s="3" t="s">
        <v>642</v>
      </c>
      <c r="BC41" s="3" t="s">
        <v>643</v>
      </c>
      <c r="BD41" s="3" t="s">
        <v>644</v>
      </c>
    </row>
    <row r="42" spans="1:56" ht="45" customHeight="1" x14ac:dyDescent="0.25">
      <c r="A42" s="8" t="s">
        <v>58</v>
      </c>
      <c r="B42" s="2" t="s">
        <v>630</v>
      </c>
      <c r="C42" s="2" t="s">
        <v>631</v>
      </c>
      <c r="D42" s="2" t="s">
        <v>632</v>
      </c>
      <c r="E42" s="3" t="s">
        <v>645</v>
      </c>
      <c r="F42" s="3" t="s">
        <v>68</v>
      </c>
      <c r="G42" s="3" t="s">
        <v>59</v>
      </c>
      <c r="H42" s="3" t="s">
        <v>68</v>
      </c>
      <c r="I42" s="3" t="s">
        <v>58</v>
      </c>
      <c r="J42" s="3" t="s">
        <v>60</v>
      </c>
      <c r="L42" s="2" t="s">
        <v>634</v>
      </c>
      <c r="M42" s="3" t="s">
        <v>291</v>
      </c>
      <c r="N42" s="2" t="s">
        <v>635</v>
      </c>
      <c r="O42" s="3" t="s">
        <v>64</v>
      </c>
      <c r="P42" s="3" t="s">
        <v>636</v>
      </c>
      <c r="R42" s="3" t="s">
        <v>66</v>
      </c>
      <c r="S42" s="4">
        <v>4</v>
      </c>
      <c r="T42" s="4">
        <v>19</v>
      </c>
      <c r="U42" s="5" t="s">
        <v>582</v>
      </c>
      <c r="V42" s="5" t="s">
        <v>637</v>
      </c>
      <c r="W42" s="5" t="s">
        <v>646</v>
      </c>
      <c r="X42" s="5" t="s">
        <v>453</v>
      </c>
      <c r="Y42" s="4">
        <v>111</v>
      </c>
      <c r="Z42" s="4">
        <v>86</v>
      </c>
      <c r="AA42" s="4">
        <v>202</v>
      </c>
      <c r="AB42" s="4">
        <v>3</v>
      </c>
      <c r="AC42" s="4">
        <v>5</v>
      </c>
      <c r="AD42" s="4">
        <v>3</v>
      </c>
      <c r="AE42" s="4">
        <v>9</v>
      </c>
      <c r="AF42" s="4">
        <v>0</v>
      </c>
      <c r="AG42" s="4">
        <v>0</v>
      </c>
      <c r="AH42" s="4">
        <v>1</v>
      </c>
      <c r="AI42" s="4">
        <v>2</v>
      </c>
      <c r="AJ42" s="4">
        <v>2</v>
      </c>
      <c r="AK42" s="4">
        <v>5</v>
      </c>
      <c r="AL42" s="4">
        <v>1</v>
      </c>
      <c r="AM42" s="4">
        <v>3</v>
      </c>
      <c r="AN42" s="4">
        <v>0</v>
      </c>
      <c r="AO42" s="4">
        <v>0</v>
      </c>
      <c r="AP42" s="3" t="s">
        <v>58</v>
      </c>
      <c r="AQ42" s="3" t="s">
        <v>68</v>
      </c>
      <c r="AR42" s="6" t="str">
        <f>HYPERLINK("http://catalog.hathitrust.org/Record/000268203","HathiTrust Record")</f>
        <v>HathiTrust Record</v>
      </c>
      <c r="AS42" s="6" t="str">
        <f>HYPERLINK("https://creighton-primo.hosted.exlibrisgroup.com/primo-explore/search?tab=default_tab&amp;search_scope=EVERYTHING&amp;vid=01CRU&amp;lang=en_US&amp;offset=0&amp;query=any,contains,991001784719702656","Catalog Record")</f>
        <v>Catalog Record</v>
      </c>
      <c r="AT42" s="6" t="str">
        <f>HYPERLINK("http://www.worldcat.org/oclc/7930984","WorldCat Record")</f>
        <v>WorldCat Record</v>
      </c>
      <c r="AU42" s="3" t="s">
        <v>638</v>
      </c>
      <c r="AV42" s="3" t="s">
        <v>639</v>
      </c>
      <c r="AW42" s="3" t="s">
        <v>640</v>
      </c>
      <c r="AX42" s="3" t="s">
        <v>640</v>
      </c>
      <c r="AY42" s="3" t="s">
        <v>641</v>
      </c>
      <c r="AZ42" s="3" t="s">
        <v>73</v>
      </c>
      <c r="BB42" s="3" t="s">
        <v>642</v>
      </c>
      <c r="BC42" s="3" t="s">
        <v>647</v>
      </c>
      <c r="BD42" s="3" t="s">
        <v>648</v>
      </c>
    </row>
    <row r="43" spans="1:56" ht="45" customHeight="1" x14ac:dyDescent="0.25">
      <c r="A43" s="8" t="s">
        <v>58</v>
      </c>
      <c r="B43" s="2" t="s">
        <v>630</v>
      </c>
      <c r="C43" s="2" t="s">
        <v>631</v>
      </c>
      <c r="D43" s="2" t="s">
        <v>632</v>
      </c>
      <c r="E43" s="3" t="s">
        <v>649</v>
      </c>
      <c r="F43" s="3" t="s">
        <v>68</v>
      </c>
      <c r="G43" s="3" t="s">
        <v>59</v>
      </c>
      <c r="H43" s="3" t="s">
        <v>68</v>
      </c>
      <c r="I43" s="3" t="s">
        <v>58</v>
      </c>
      <c r="J43" s="3" t="s">
        <v>60</v>
      </c>
      <c r="L43" s="2" t="s">
        <v>634</v>
      </c>
      <c r="M43" s="3" t="s">
        <v>291</v>
      </c>
      <c r="N43" s="2" t="s">
        <v>635</v>
      </c>
      <c r="O43" s="3" t="s">
        <v>64</v>
      </c>
      <c r="P43" s="3" t="s">
        <v>636</v>
      </c>
      <c r="R43" s="3" t="s">
        <v>66</v>
      </c>
      <c r="S43" s="4">
        <v>1</v>
      </c>
      <c r="T43" s="4">
        <v>19</v>
      </c>
      <c r="U43" s="5" t="s">
        <v>650</v>
      </c>
      <c r="V43" s="5" t="s">
        <v>637</v>
      </c>
      <c r="W43" s="5" t="s">
        <v>453</v>
      </c>
      <c r="X43" s="5" t="s">
        <v>453</v>
      </c>
      <c r="Y43" s="4">
        <v>111</v>
      </c>
      <c r="Z43" s="4">
        <v>86</v>
      </c>
      <c r="AA43" s="4">
        <v>202</v>
      </c>
      <c r="AB43" s="4">
        <v>3</v>
      </c>
      <c r="AC43" s="4">
        <v>5</v>
      </c>
      <c r="AD43" s="4">
        <v>3</v>
      </c>
      <c r="AE43" s="4">
        <v>9</v>
      </c>
      <c r="AF43" s="4">
        <v>0</v>
      </c>
      <c r="AG43" s="4">
        <v>0</v>
      </c>
      <c r="AH43" s="4">
        <v>1</v>
      </c>
      <c r="AI43" s="4">
        <v>2</v>
      </c>
      <c r="AJ43" s="4">
        <v>2</v>
      </c>
      <c r="AK43" s="4">
        <v>5</v>
      </c>
      <c r="AL43" s="4">
        <v>1</v>
      </c>
      <c r="AM43" s="4">
        <v>3</v>
      </c>
      <c r="AN43" s="4">
        <v>0</v>
      </c>
      <c r="AO43" s="4">
        <v>0</v>
      </c>
      <c r="AP43" s="3" t="s">
        <v>58</v>
      </c>
      <c r="AQ43" s="3" t="s">
        <v>68</v>
      </c>
      <c r="AR43" s="6" t="str">
        <f>HYPERLINK("http://catalog.hathitrust.org/Record/000268203","HathiTrust Record")</f>
        <v>HathiTrust Record</v>
      </c>
      <c r="AS43" s="6" t="str">
        <f>HYPERLINK("https://creighton-primo.hosted.exlibrisgroup.com/primo-explore/search?tab=default_tab&amp;search_scope=EVERYTHING&amp;vid=01CRU&amp;lang=en_US&amp;offset=0&amp;query=any,contains,991001784719702656","Catalog Record")</f>
        <v>Catalog Record</v>
      </c>
      <c r="AT43" s="6" t="str">
        <f>HYPERLINK("http://www.worldcat.org/oclc/7930984","WorldCat Record")</f>
        <v>WorldCat Record</v>
      </c>
      <c r="AU43" s="3" t="s">
        <v>638</v>
      </c>
      <c r="AV43" s="3" t="s">
        <v>639</v>
      </c>
      <c r="AW43" s="3" t="s">
        <v>640</v>
      </c>
      <c r="AX43" s="3" t="s">
        <v>640</v>
      </c>
      <c r="AY43" s="3" t="s">
        <v>641</v>
      </c>
      <c r="AZ43" s="3" t="s">
        <v>73</v>
      </c>
      <c r="BB43" s="3" t="s">
        <v>642</v>
      </c>
      <c r="BC43" s="3" t="s">
        <v>651</v>
      </c>
      <c r="BD43" s="3" t="s">
        <v>652</v>
      </c>
    </row>
    <row r="44" spans="1:56" ht="45" customHeight="1" x14ac:dyDescent="0.25">
      <c r="A44" s="8" t="s">
        <v>58</v>
      </c>
      <c r="B44" s="2" t="s">
        <v>653</v>
      </c>
      <c r="C44" s="2" t="s">
        <v>654</v>
      </c>
      <c r="D44" s="2" t="s">
        <v>655</v>
      </c>
      <c r="F44" s="3" t="s">
        <v>58</v>
      </c>
      <c r="G44" s="3" t="s">
        <v>59</v>
      </c>
      <c r="H44" s="3" t="s">
        <v>68</v>
      </c>
      <c r="I44" s="3" t="s">
        <v>58</v>
      </c>
      <c r="J44" s="3" t="s">
        <v>60</v>
      </c>
      <c r="L44" s="2" t="s">
        <v>656</v>
      </c>
      <c r="M44" s="3" t="s">
        <v>450</v>
      </c>
      <c r="O44" s="3" t="s">
        <v>64</v>
      </c>
      <c r="P44" s="3" t="s">
        <v>177</v>
      </c>
      <c r="R44" s="3" t="s">
        <v>66</v>
      </c>
      <c r="S44" s="4">
        <v>2</v>
      </c>
      <c r="T44" s="4">
        <v>2</v>
      </c>
      <c r="U44" s="5" t="s">
        <v>657</v>
      </c>
      <c r="V44" s="5" t="s">
        <v>657</v>
      </c>
      <c r="W44" s="5" t="s">
        <v>658</v>
      </c>
      <c r="X44" s="5" t="s">
        <v>658</v>
      </c>
      <c r="Y44" s="4">
        <v>262</v>
      </c>
      <c r="Z44" s="4">
        <v>227</v>
      </c>
      <c r="AA44" s="4">
        <v>234</v>
      </c>
      <c r="AB44" s="4">
        <v>5</v>
      </c>
      <c r="AC44" s="4">
        <v>5</v>
      </c>
      <c r="AD44" s="4">
        <v>8</v>
      </c>
      <c r="AE44" s="4">
        <v>8</v>
      </c>
      <c r="AF44" s="4">
        <v>3</v>
      </c>
      <c r="AG44" s="4">
        <v>3</v>
      </c>
      <c r="AH44" s="4">
        <v>0</v>
      </c>
      <c r="AI44" s="4">
        <v>0</v>
      </c>
      <c r="AJ44" s="4">
        <v>4</v>
      </c>
      <c r="AK44" s="4">
        <v>4</v>
      </c>
      <c r="AL44" s="4">
        <v>3</v>
      </c>
      <c r="AM44" s="4">
        <v>3</v>
      </c>
      <c r="AN44" s="4">
        <v>0</v>
      </c>
      <c r="AO44" s="4">
        <v>0</v>
      </c>
      <c r="AP44" s="3" t="s">
        <v>58</v>
      </c>
      <c r="AQ44" s="3" t="s">
        <v>68</v>
      </c>
      <c r="AR44" s="6" t="str">
        <f>HYPERLINK("http://catalog.hathitrust.org/Record/000838986","HathiTrust Record")</f>
        <v>HathiTrust Record</v>
      </c>
      <c r="AS44" s="6" t="str">
        <f>HYPERLINK("https://creighton-primo.hosted.exlibrisgroup.com/primo-explore/search?tab=default_tab&amp;search_scope=EVERYTHING&amp;vid=01CRU&amp;lang=en_US&amp;offset=0&amp;query=any,contains,991000915939702656","Catalog Record")</f>
        <v>Catalog Record</v>
      </c>
      <c r="AT44" s="6" t="str">
        <f>HYPERLINK("http://www.worldcat.org/oclc/14168031","WorldCat Record")</f>
        <v>WorldCat Record</v>
      </c>
      <c r="AU44" s="3" t="s">
        <v>659</v>
      </c>
      <c r="AV44" s="3" t="s">
        <v>660</v>
      </c>
      <c r="AW44" s="3" t="s">
        <v>661</v>
      </c>
      <c r="AX44" s="3" t="s">
        <v>661</v>
      </c>
      <c r="AY44" s="3" t="s">
        <v>662</v>
      </c>
      <c r="AZ44" s="3" t="s">
        <v>73</v>
      </c>
      <c r="BB44" s="3" t="s">
        <v>663</v>
      </c>
      <c r="BC44" s="3" t="s">
        <v>664</v>
      </c>
      <c r="BD44" s="3" t="s">
        <v>665</v>
      </c>
    </row>
    <row r="45" spans="1:56" ht="45" customHeight="1" x14ac:dyDescent="0.25">
      <c r="A45" s="8" t="s">
        <v>58</v>
      </c>
      <c r="B45" s="2" t="s">
        <v>666</v>
      </c>
      <c r="C45" s="2" t="s">
        <v>667</v>
      </c>
      <c r="D45" s="2" t="s">
        <v>668</v>
      </c>
      <c r="F45" s="3" t="s">
        <v>58</v>
      </c>
      <c r="G45" s="3" t="s">
        <v>59</v>
      </c>
      <c r="H45" s="3" t="s">
        <v>68</v>
      </c>
      <c r="I45" s="3" t="s">
        <v>58</v>
      </c>
      <c r="J45" s="3" t="s">
        <v>60</v>
      </c>
      <c r="L45" s="2" t="s">
        <v>669</v>
      </c>
      <c r="M45" s="3" t="s">
        <v>480</v>
      </c>
      <c r="N45" s="2" t="s">
        <v>567</v>
      </c>
      <c r="O45" s="3" t="s">
        <v>64</v>
      </c>
      <c r="P45" s="3" t="s">
        <v>177</v>
      </c>
      <c r="R45" s="3" t="s">
        <v>66</v>
      </c>
      <c r="S45" s="4">
        <v>2</v>
      </c>
      <c r="T45" s="4">
        <v>2</v>
      </c>
      <c r="U45" s="5" t="s">
        <v>657</v>
      </c>
      <c r="V45" s="5" t="s">
        <v>657</v>
      </c>
      <c r="W45" s="5" t="s">
        <v>622</v>
      </c>
      <c r="X45" s="5" t="s">
        <v>622</v>
      </c>
      <c r="Y45" s="4">
        <v>377</v>
      </c>
      <c r="Z45" s="4">
        <v>296</v>
      </c>
      <c r="AA45" s="4">
        <v>479</v>
      </c>
      <c r="AB45" s="4">
        <v>5</v>
      </c>
      <c r="AC45" s="4">
        <v>6</v>
      </c>
      <c r="AD45" s="4">
        <v>8</v>
      </c>
      <c r="AE45" s="4">
        <v>11</v>
      </c>
      <c r="AF45" s="4">
        <v>2</v>
      </c>
      <c r="AG45" s="4">
        <v>3</v>
      </c>
      <c r="AH45" s="4">
        <v>0</v>
      </c>
      <c r="AI45" s="4">
        <v>0</v>
      </c>
      <c r="AJ45" s="4">
        <v>4</v>
      </c>
      <c r="AK45" s="4">
        <v>5</v>
      </c>
      <c r="AL45" s="4">
        <v>3</v>
      </c>
      <c r="AM45" s="4">
        <v>4</v>
      </c>
      <c r="AN45" s="4">
        <v>0</v>
      </c>
      <c r="AO45" s="4">
        <v>0</v>
      </c>
      <c r="AP45" s="3" t="s">
        <v>58</v>
      </c>
      <c r="AQ45" s="3" t="s">
        <v>68</v>
      </c>
      <c r="AR45" s="6" t="str">
        <f>HYPERLINK("http://catalog.hathitrust.org/Record/004414488","HathiTrust Record")</f>
        <v>HathiTrust Record</v>
      </c>
      <c r="AS45" s="6" t="str">
        <f>HYPERLINK("https://creighton-primo.hosted.exlibrisgroup.com/primo-explore/search?tab=default_tab&amp;search_scope=EVERYTHING&amp;vid=01CRU&amp;lang=en_US&amp;offset=0&amp;query=any,contains,991005146209702656","Catalog Record")</f>
        <v>Catalog Record</v>
      </c>
      <c r="AT45" s="6" t="str">
        <f>HYPERLINK("http://www.worldcat.org/oclc/7671525","WorldCat Record")</f>
        <v>WorldCat Record</v>
      </c>
      <c r="AU45" s="3" t="s">
        <v>670</v>
      </c>
      <c r="AV45" s="3" t="s">
        <v>671</v>
      </c>
      <c r="AW45" s="3" t="s">
        <v>672</v>
      </c>
      <c r="AX45" s="3" t="s">
        <v>672</v>
      </c>
      <c r="AY45" s="3" t="s">
        <v>673</v>
      </c>
      <c r="AZ45" s="3" t="s">
        <v>73</v>
      </c>
      <c r="BB45" s="3" t="s">
        <v>674</v>
      </c>
      <c r="BC45" s="3" t="s">
        <v>675</v>
      </c>
      <c r="BD45" s="3" t="s">
        <v>676</v>
      </c>
    </row>
    <row r="46" spans="1:56" ht="45" customHeight="1" x14ac:dyDescent="0.25">
      <c r="A46" s="8" t="s">
        <v>58</v>
      </c>
      <c r="B46" s="2" t="s">
        <v>677</v>
      </c>
      <c r="C46" s="2" t="s">
        <v>678</v>
      </c>
      <c r="D46" s="2" t="s">
        <v>679</v>
      </c>
      <c r="F46" s="3" t="s">
        <v>58</v>
      </c>
      <c r="G46" s="3" t="s">
        <v>59</v>
      </c>
      <c r="H46" s="3" t="s">
        <v>58</v>
      </c>
      <c r="I46" s="3" t="s">
        <v>58</v>
      </c>
      <c r="J46" s="3" t="s">
        <v>60</v>
      </c>
      <c r="L46" s="2" t="s">
        <v>680</v>
      </c>
      <c r="M46" s="3" t="s">
        <v>681</v>
      </c>
      <c r="O46" s="3" t="s">
        <v>64</v>
      </c>
      <c r="P46" s="3" t="s">
        <v>682</v>
      </c>
      <c r="R46" s="3" t="s">
        <v>66</v>
      </c>
      <c r="S46" s="4">
        <v>1</v>
      </c>
      <c r="T46" s="4">
        <v>1</v>
      </c>
      <c r="U46" s="5" t="s">
        <v>683</v>
      </c>
      <c r="V46" s="5" t="s">
        <v>683</v>
      </c>
      <c r="W46" s="5" t="s">
        <v>622</v>
      </c>
      <c r="X46" s="5" t="s">
        <v>622</v>
      </c>
      <c r="Y46" s="4">
        <v>159</v>
      </c>
      <c r="Z46" s="4">
        <v>132</v>
      </c>
      <c r="AA46" s="4">
        <v>138</v>
      </c>
      <c r="AB46" s="4">
        <v>3</v>
      </c>
      <c r="AC46" s="4">
        <v>3</v>
      </c>
      <c r="AD46" s="4">
        <v>5</v>
      </c>
      <c r="AE46" s="4">
        <v>5</v>
      </c>
      <c r="AF46" s="4">
        <v>2</v>
      </c>
      <c r="AG46" s="4">
        <v>2</v>
      </c>
      <c r="AH46" s="4">
        <v>2</v>
      </c>
      <c r="AI46" s="4">
        <v>2</v>
      </c>
      <c r="AJ46" s="4">
        <v>1</v>
      </c>
      <c r="AK46" s="4">
        <v>1</v>
      </c>
      <c r="AL46" s="4">
        <v>2</v>
      </c>
      <c r="AM46" s="4">
        <v>2</v>
      </c>
      <c r="AN46" s="4">
        <v>0</v>
      </c>
      <c r="AO46" s="4">
        <v>0</v>
      </c>
      <c r="AP46" s="3" t="s">
        <v>58</v>
      </c>
      <c r="AQ46" s="3" t="s">
        <v>68</v>
      </c>
      <c r="AR46" s="6" t="str">
        <f>HYPERLINK("http://catalog.hathitrust.org/Record/102078777","HathiTrust Record")</f>
        <v>HathiTrust Record</v>
      </c>
      <c r="AS46" s="6" t="str">
        <f>HYPERLINK("https://creighton-primo.hosted.exlibrisgroup.com/primo-explore/search?tab=default_tab&amp;search_scope=EVERYTHING&amp;vid=01CRU&amp;lang=en_US&amp;offset=0&amp;query=any,contains,991000230049702656","Catalog Record")</f>
        <v>Catalog Record</v>
      </c>
      <c r="AT46" s="6" t="str">
        <f>HYPERLINK("http://www.worldcat.org/oclc/9632580","WorldCat Record")</f>
        <v>WorldCat Record</v>
      </c>
      <c r="AU46" s="3" t="s">
        <v>684</v>
      </c>
      <c r="AV46" s="3" t="s">
        <v>685</v>
      </c>
      <c r="AW46" s="3" t="s">
        <v>686</v>
      </c>
      <c r="AX46" s="3" t="s">
        <v>686</v>
      </c>
      <c r="AY46" s="3" t="s">
        <v>687</v>
      </c>
      <c r="AZ46" s="3" t="s">
        <v>73</v>
      </c>
      <c r="BB46" s="3" t="s">
        <v>688</v>
      </c>
      <c r="BC46" s="3" t="s">
        <v>689</v>
      </c>
      <c r="BD46" s="3" t="s">
        <v>690</v>
      </c>
    </row>
    <row r="47" spans="1:56" ht="45" customHeight="1" x14ac:dyDescent="0.25">
      <c r="A47" s="8" t="s">
        <v>58</v>
      </c>
      <c r="B47" s="2" t="s">
        <v>691</v>
      </c>
      <c r="C47" s="2" t="s">
        <v>692</v>
      </c>
      <c r="D47" s="2" t="s">
        <v>693</v>
      </c>
      <c r="F47" s="3" t="s">
        <v>58</v>
      </c>
      <c r="G47" s="3" t="s">
        <v>59</v>
      </c>
      <c r="H47" s="3" t="s">
        <v>58</v>
      </c>
      <c r="I47" s="3" t="s">
        <v>58</v>
      </c>
      <c r="J47" s="3" t="s">
        <v>60</v>
      </c>
      <c r="L47" s="2" t="s">
        <v>694</v>
      </c>
      <c r="M47" s="3" t="s">
        <v>249</v>
      </c>
      <c r="O47" s="3" t="s">
        <v>64</v>
      </c>
      <c r="P47" s="3" t="s">
        <v>177</v>
      </c>
      <c r="R47" s="3" t="s">
        <v>66</v>
      </c>
      <c r="S47" s="4">
        <v>2</v>
      </c>
      <c r="T47" s="4">
        <v>2</v>
      </c>
      <c r="U47" s="5" t="s">
        <v>695</v>
      </c>
      <c r="V47" s="5" t="s">
        <v>695</v>
      </c>
      <c r="W47" s="5" t="s">
        <v>658</v>
      </c>
      <c r="X47" s="5" t="s">
        <v>658</v>
      </c>
      <c r="Y47" s="4">
        <v>391</v>
      </c>
      <c r="Z47" s="4">
        <v>332</v>
      </c>
      <c r="AA47" s="4">
        <v>332</v>
      </c>
      <c r="AB47" s="4">
        <v>3</v>
      </c>
      <c r="AC47" s="4">
        <v>3</v>
      </c>
      <c r="AD47" s="4">
        <v>6</v>
      </c>
      <c r="AE47" s="4">
        <v>6</v>
      </c>
      <c r="AF47" s="4">
        <v>0</v>
      </c>
      <c r="AG47" s="4">
        <v>0</v>
      </c>
      <c r="AH47" s="4">
        <v>2</v>
      </c>
      <c r="AI47" s="4">
        <v>2</v>
      </c>
      <c r="AJ47" s="4">
        <v>3</v>
      </c>
      <c r="AK47" s="4">
        <v>3</v>
      </c>
      <c r="AL47" s="4">
        <v>2</v>
      </c>
      <c r="AM47" s="4">
        <v>2</v>
      </c>
      <c r="AN47" s="4">
        <v>0</v>
      </c>
      <c r="AO47" s="4">
        <v>0</v>
      </c>
      <c r="AP47" s="3" t="s">
        <v>58</v>
      </c>
      <c r="AQ47" s="3" t="s">
        <v>58</v>
      </c>
      <c r="AS47" s="6" t="str">
        <f>HYPERLINK("https://creighton-primo.hosted.exlibrisgroup.com/primo-explore/search?tab=default_tab&amp;search_scope=EVERYTHING&amp;vid=01CRU&amp;lang=en_US&amp;offset=0&amp;query=any,contains,991004476539702656","Catalog Record")</f>
        <v>Catalog Record</v>
      </c>
      <c r="AT47" s="6" t="str">
        <f>HYPERLINK("http://www.worldcat.org/oclc/3609511","WorldCat Record")</f>
        <v>WorldCat Record</v>
      </c>
      <c r="AU47" s="3" t="s">
        <v>696</v>
      </c>
      <c r="AV47" s="3" t="s">
        <v>697</v>
      </c>
      <c r="AW47" s="3" t="s">
        <v>698</v>
      </c>
      <c r="AX47" s="3" t="s">
        <v>698</v>
      </c>
      <c r="AY47" s="3" t="s">
        <v>699</v>
      </c>
      <c r="AZ47" s="3" t="s">
        <v>73</v>
      </c>
      <c r="BB47" s="3" t="s">
        <v>700</v>
      </c>
      <c r="BC47" s="3" t="s">
        <v>701</v>
      </c>
      <c r="BD47" s="3" t="s">
        <v>702</v>
      </c>
    </row>
    <row r="48" spans="1:56" ht="45" customHeight="1" x14ac:dyDescent="0.25">
      <c r="A48" s="8" t="s">
        <v>58</v>
      </c>
      <c r="B48" s="2" t="s">
        <v>703</v>
      </c>
      <c r="C48" s="2" t="s">
        <v>704</v>
      </c>
      <c r="D48" s="2" t="s">
        <v>705</v>
      </c>
      <c r="F48" s="3" t="s">
        <v>58</v>
      </c>
      <c r="G48" s="3" t="s">
        <v>59</v>
      </c>
      <c r="H48" s="3" t="s">
        <v>58</v>
      </c>
      <c r="I48" s="3" t="s">
        <v>58</v>
      </c>
      <c r="J48" s="3" t="s">
        <v>60</v>
      </c>
      <c r="K48" s="2" t="s">
        <v>706</v>
      </c>
      <c r="L48" s="2" t="s">
        <v>707</v>
      </c>
      <c r="M48" s="3" t="s">
        <v>681</v>
      </c>
      <c r="O48" s="3" t="s">
        <v>64</v>
      </c>
      <c r="P48" s="3" t="s">
        <v>191</v>
      </c>
      <c r="R48" s="3" t="s">
        <v>66</v>
      </c>
      <c r="S48" s="4">
        <v>3</v>
      </c>
      <c r="T48" s="4">
        <v>3</v>
      </c>
      <c r="U48" s="5" t="s">
        <v>695</v>
      </c>
      <c r="V48" s="5" t="s">
        <v>695</v>
      </c>
      <c r="W48" s="5" t="s">
        <v>658</v>
      </c>
      <c r="X48" s="5" t="s">
        <v>658</v>
      </c>
      <c r="Y48" s="4">
        <v>207</v>
      </c>
      <c r="Z48" s="4">
        <v>188</v>
      </c>
      <c r="AA48" s="4">
        <v>213</v>
      </c>
      <c r="AB48" s="4">
        <v>1</v>
      </c>
      <c r="AC48" s="4">
        <v>2</v>
      </c>
      <c r="AD48" s="4">
        <v>4</v>
      </c>
      <c r="AE48" s="4">
        <v>6</v>
      </c>
      <c r="AF48" s="4">
        <v>2</v>
      </c>
      <c r="AG48" s="4">
        <v>3</v>
      </c>
      <c r="AH48" s="4">
        <v>1</v>
      </c>
      <c r="AI48" s="4">
        <v>1</v>
      </c>
      <c r="AJ48" s="4">
        <v>3</v>
      </c>
      <c r="AK48" s="4">
        <v>3</v>
      </c>
      <c r="AL48" s="4">
        <v>0</v>
      </c>
      <c r="AM48" s="4">
        <v>1</v>
      </c>
      <c r="AN48" s="4">
        <v>0</v>
      </c>
      <c r="AO48" s="4">
        <v>0</v>
      </c>
      <c r="AP48" s="3" t="s">
        <v>58</v>
      </c>
      <c r="AQ48" s="3" t="s">
        <v>58</v>
      </c>
      <c r="AS48" s="6" t="str">
        <f>HYPERLINK("https://creighton-primo.hosted.exlibrisgroup.com/primo-explore/search?tab=default_tab&amp;search_scope=EVERYTHING&amp;vid=01CRU&amp;lang=en_US&amp;offset=0&amp;query=any,contains,991000200109702656","Catalog Record")</f>
        <v>Catalog Record</v>
      </c>
      <c r="AT48" s="6" t="str">
        <f>HYPERLINK("http://www.worldcat.org/oclc/9464420","WorldCat Record")</f>
        <v>WorldCat Record</v>
      </c>
      <c r="AU48" s="3" t="s">
        <v>708</v>
      </c>
      <c r="AV48" s="3" t="s">
        <v>709</v>
      </c>
      <c r="AW48" s="3" t="s">
        <v>710</v>
      </c>
      <c r="AX48" s="3" t="s">
        <v>710</v>
      </c>
      <c r="AY48" s="3" t="s">
        <v>711</v>
      </c>
      <c r="AZ48" s="3" t="s">
        <v>73</v>
      </c>
      <c r="BB48" s="3" t="s">
        <v>712</v>
      </c>
      <c r="BC48" s="3" t="s">
        <v>713</v>
      </c>
      <c r="BD48" s="3" t="s">
        <v>714</v>
      </c>
    </row>
    <row r="49" spans="1:56" ht="45" customHeight="1" x14ac:dyDescent="0.25">
      <c r="A49" s="8" t="s">
        <v>58</v>
      </c>
      <c r="B49" s="2" t="s">
        <v>715</v>
      </c>
      <c r="C49" s="2" t="s">
        <v>716</v>
      </c>
      <c r="D49" s="2" t="s">
        <v>717</v>
      </c>
      <c r="F49" s="3" t="s">
        <v>58</v>
      </c>
      <c r="G49" s="3" t="s">
        <v>59</v>
      </c>
      <c r="H49" s="3" t="s">
        <v>68</v>
      </c>
      <c r="I49" s="3" t="s">
        <v>58</v>
      </c>
      <c r="J49" s="3" t="s">
        <v>60</v>
      </c>
      <c r="K49" s="2" t="s">
        <v>718</v>
      </c>
      <c r="L49" s="2" t="s">
        <v>719</v>
      </c>
      <c r="M49" s="3" t="s">
        <v>129</v>
      </c>
      <c r="O49" s="3" t="s">
        <v>64</v>
      </c>
      <c r="P49" s="3" t="s">
        <v>177</v>
      </c>
      <c r="Q49" s="2" t="s">
        <v>720</v>
      </c>
      <c r="R49" s="3" t="s">
        <v>66</v>
      </c>
      <c r="S49" s="4">
        <v>6</v>
      </c>
      <c r="T49" s="4">
        <v>17</v>
      </c>
      <c r="U49" s="5" t="s">
        <v>721</v>
      </c>
      <c r="V49" s="5" t="s">
        <v>721</v>
      </c>
      <c r="W49" s="5" t="s">
        <v>722</v>
      </c>
      <c r="X49" s="5" t="s">
        <v>722</v>
      </c>
      <c r="Y49" s="4">
        <v>359</v>
      </c>
      <c r="Z49" s="4">
        <v>309</v>
      </c>
      <c r="AA49" s="4">
        <v>314</v>
      </c>
      <c r="AB49" s="4">
        <v>3</v>
      </c>
      <c r="AC49" s="4">
        <v>3</v>
      </c>
      <c r="AD49" s="4">
        <v>22</v>
      </c>
      <c r="AE49" s="4">
        <v>22</v>
      </c>
      <c r="AF49" s="4">
        <v>9</v>
      </c>
      <c r="AG49" s="4">
        <v>9</v>
      </c>
      <c r="AH49" s="4">
        <v>2</v>
      </c>
      <c r="AI49" s="4">
        <v>2</v>
      </c>
      <c r="AJ49" s="4">
        <v>15</v>
      </c>
      <c r="AK49" s="4">
        <v>15</v>
      </c>
      <c r="AL49" s="4">
        <v>1</v>
      </c>
      <c r="AM49" s="4">
        <v>1</v>
      </c>
      <c r="AN49" s="4">
        <v>2</v>
      </c>
      <c r="AO49" s="4">
        <v>2</v>
      </c>
      <c r="AP49" s="3" t="s">
        <v>58</v>
      </c>
      <c r="AQ49" s="3" t="s">
        <v>58</v>
      </c>
      <c r="AS49" s="6" t="str">
        <f>HYPERLINK("https://creighton-primo.hosted.exlibrisgroup.com/primo-explore/search?tab=default_tab&amp;search_scope=EVERYTHING&amp;vid=01CRU&amp;lang=en_US&amp;offset=0&amp;query=any,contains,991001805749702656","Catalog Record")</f>
        <v>Catalog Record</v>
      </c>
      <c r="AT49" s="6" t="str">
        <f>HYPERLINK("http://www.worldcat.org/oclc/2660101","WorldCat Record")</f>
        <v>WorldCat Record</v>
      </c>
      <c r="AU49" s="3" t="s">
        <v>723</v>
      </c>
      <c r="AV49" s="3" t="s">
        <v>724</v>
      </c>
      <c r="AW49" s="3" t="s">
        <v>725</v>
      </c>
      <c r="AX49" s="3" t="s">
        <v>725</v>
      </c>
      <c r="AY49" s="3" t="s">
        <v>726</v>
      </c>
      <c r="AZ49" s="3" t="s">
        <v>73</v>
      </c>
      <c r="BB49" s="3" t="s">
        <v>727</v>
      </c>
      <c r="BC49" s="3" t="s">
        <v>728</v>
      </c>
      <c r="BD49" s="3" t="s">
        <v>729</v>
      </c>
    </row>
    <row r="50" spans="1:56" ht="45" customHeight="1" x14ac:dyDescent="0.25">
      <c r="A50" s="8" t="s">
        <v>58</v>
      </c>
      <c r="B50" s="2" t="s">
        <v>730</v>
      </c>
      <c r="C50" s="2" t="s">
        <v>731</v>
      </c>
      <c r="D50" s="2" t="s">
        <v>732</v>
      </c>
      <c r="F50" s="3" t="s">
        <v>58</v>
      </c>
      <c r="G50" s="3" t="s">
        <v>59</v>
      </c>
      <c r="H50" s="3" t="s">
        <v>58</v>
      </c>
      <c r="I50" s="3" t="s">
        <v>58</v>
      </c>
      <c r="J50" s="3" t="s">
        <v>60</v>
      </c>
      <c r="L50" s="2" t="s">
        <v>733</v>
      </c>
      <c r="M50" s="3" t="s">
        <v>552</v>
      </c>
      <c r="O50" s="3" t="s">
        <v>64</v>
      </c>
      <c r="P50" s="3" t="s">
        <v>65</v>
      </c>
      <c r="Q50" s="2" t="s">
        <v>734</v>
      </c>
      <c r="R50" s="3" t="s">
        <v>66</v>
      </c>
      <c r="S50" s="4">
        <v>6</v>
      </c>
      <c r="T50" s="4">
        <v>6</v>
      </c>
      <c r="U50" s="5" t="s">
        <v>735</v>
      </c>
      <c r="V50" s="5" t="s">
        <v>735</v>
      </c>
      <c r="W50" s="5" t="s">
        <v>736</v>
      </c>
      <c r="X50" s="5" t="s">
        <v>736</v>
      </c>
      <c r="Y50" s="4">
        <v>383</v>
      </c>
      <c r="Z50" s="4">
        <v>288</v>
      </c>
      <c r="AA50" s="4">
        <v>295</v>
      </c>
      <c r="AB50" s="4">
        <v>4</v>
      </c>
      <c r="AC50" s="4">
        <v>4</v>
      </c>
      <c r="AD50" s="4">
        <v>14</v>
      </c>
      <c r="AE50" s="4">
        <v>14</v>
      </c>
      <c r="AF50" s="4">
        <v>4</v>
      </c>
      <c r="AG50" s="4">
        <v>4</v>
      </c>
      <c r="AH50" s="4">
        <v>3</v>
      </c>
      <c r="AI50" s="4">
        <v>3</v>
      </c>
      <c r="AJ50" s="4">
        <v>8</v>
      </c>
      <c r="AK50" s="4">
        <v>8</v>
      </c>
      <c r="AL50" s="4">
        <v>3</v>
      </c>
      <c r="AM50" s="4">
        <v>3</v>
      </c>
      <c r="AN50" s="4">
        <v>0</v>
      </c>
      <c r="AO50" s="4">
        <v>0</v>
      </c>
      <c r="AP50" s="3" t="s">
        <v>58</v>
      </c>
      <c r="AQ50" s="3" t="s">
        <v>68</v>
      </c>
      <c r="AR50" s="6" t="str">
        <f>HYPERLINK("http://catalog.hathitrust.org/Record/001537230","HathiTrust Record")</f>
        <v>HathiTrust Record</v>
      </c>
      <c r="AS50" s="6" t="str">
        <f>HYPERLINK("https://creighton-primo.hosted.exlibrisgroup.com/primo-explore/search?tab=default_tab&amp;search_scope=EVERYTHING&amp;vid=01CRU&amp;lang=en_US&amp;offset=0&amp;query=any,contains,991001463619702656","Catalog Record")</f>
        <v>Catalog Record</v>
      </c>
      <c r="AT50" s="6" t="str">
        <f>HYPERLINK("http://www.worldcat.org/oclc/19458690","WorldCat Record")</f>
        <v>WorldCat Record</v>
      </c>
      <c r="AU50" s="3" t="s">
        <v>737</v>
      </c>
      <c r="AV50" s="3" t="s">
        <v>738</v>
      </c>
      <c r="AW50" s="3" t="s">
        <v>739</v>
      </c>
      <c r="AX50" s="3" t="s">
        <v>739</v>
      </c>
      <c r="AY50" s="3" t="s">
        <v>740</v>
      </c>
      <c r="AZ50" s="3" t="s">
        <v>73</v>
      </c>
      <c r="BB50" s="3" t="s">
        <v>741</v>
      </c>
      <c r="BC50" s="3" t="s">
        <v>742</v>
      </c>
      <c r="BD50" s="3" t="s">
        <v>743</v>
      </c>
    </row>
    <row r="51" spans="1:56" ht="45" customHeight="1" x14ac:dyDescent="0.25">
      <c r="A51" s="8" t="s">
        <v>58</v>
      </c>
      <c r="B51" s="2" t="s">
        <v>744</v>
      </c>
      <c r="C51" s="2" t="s">
        <v>745</v>
      </c>
      <c r="D51" s="2" t="s">
        <v>746</v>
      </c>
      <c r="F51" s="3" t="s">
        <v>58</v>
      </c>
      <c r="G51" s="3" t="s">
        <v>59</v>
      </c>
      <c r="H51" s="3" t="s">
        <v>58</v>
      </c>
      <c r="I51" s="3" t="s">
        <v>58</v>
      </c>
      <c r="J51" s="3" t="s">
        <v>60</v>
      </c>
      <c r="K51" s="2" t="s">
        <v>747</v>
      </c>
      <c r="L51" s="2" t="s">
        <v>748</v>
      </c>
      <c r="M51" s="3" t="s">
        <v>552</v>
      </c>
      <c r="O51" s="3" t="s">
        <v>64</v>
      </c>
      <c r="P51" s="3" t="s">
        <v>99</v>
      </c>
      <c r="R51" s="3" t="s">
        <v>66</v>
      </c>
      <c r="S51" s="4">
        <v>8</v>
      </c>
      <c r="T51" s="4">
        <v>8</v>
      </c>
      <c r="U51" s="5" t="s">
        <v>749</v>
      </c>
      <c r="V51" s="5" t="s">
        <v>749</v>
      </c>
      <c r="W51" s="5" t="s">
        <v>453</v>
      </c>
      <c r="X51" s="5" t="s">
        <v>453</v>
      </c>
      <c r="Y51" s="4">
        <v>217</v>
      </c>
      <c r="Z51" s="4">
        <v>176</v>
      </c>
      <c r="AA51" s="4">
        <v>176</v>
      </c>
      <c r="AB51" s="4">
        <v>4</v>
      </c>
      <c r="AC51" s="4">
        <v>4</v>
      </c>
      <c r="AD51" s="4">
        <v>2</v>
      </c>
      <c r="AE51" s="4">
        <v>2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2</v>
      </c>
      <c r="AM51" s="4">
        <v>2</v>
      </c>
      <c r="AN51" s="4">
        <v>0</v>
      </c>
      <c r="AO51" s="4">
        <v>0</v>
      </c>
      <c r="AP51" s="3" t="s">
        <v>58</v>
      </c>
      <c r="AQ51" s="3" t="s">
        <v>58</v>
      </c>
      <c r="AS51" s="6" t="str">
        <f>HYPERLINK("https://creighton-primo.hosted.exlibrisgroup.com/primo-explore/search?tab=default_tab&amp;search_scope=EVERYTHING&amp;vid=01CRU&amp;lang=en_US&amp;offset=0&amp;query=any,contains,991001391859702656","Catalog Record")</f>
        <v>Catalog Record</v>
      </c>
      <c r="AT51" s="6" t="str">
        <f>HYPERLINK("http://www.worldcat.org/oclc/18778685","WorldCat Record")</f>
        <v>WorldCat Record</v>
      </c>
      <c r="AU51" s="3" t="s">
        <v>750</v>
      </c>
      <c r="AV51" s="3" t="s">
        <v>751</v>
      </c>
      <c r="AW51" s="3" t="s">
        <v>752</v>
      </c>
      <c r="AX51" s="3" t="s">
        <v>752</v>
      </c>
      <c r="AY51" s="3" t="s">
        <v>753</v>
      </c>
      <c r="AZ51" s="3" t="s">
        <v>73</v>
      </c>
      <c r="BB51" s="3" t="s">
        <v>754</v>
      </c>
      <c r="BC51" s="3" t="s">
        <v>755</v>
      </c>
      <c r="BD51" s="3" t="s">
        <v>756</v>
      </c>
    </row>
    <row r="52" spans="1:56" ht="45" customHeight="1" x14ac:dyDescent="0.25">
      <c r="A52" s="8" t="s">
        <v>58</v>
      </c>
      <c r="B52" s="2" t="s">
        <v>757</v>
      </c>
      <c r="C52" s="2" t="s">
        <v>758</v>
      </c>
      <c r="D52" s="2" t="s">
        <v>759</v>
      </c>
      <c r="F52" s="3" t="s">
        <v>58</v>
      </c>
      <c r="G52" s="3" t="s">
        <v>59</v>
      </c>
      <c r="H52" s="3" t="s">
        <v>58</v>
      </c>
      <c r="I52" s="3" t="s">
        <v>58</v>
      </c>
      <c r="J52" s="3" t="s">
        <v>60</v>
      </c>
      <c r="K52" s="2" t="s">
        <v>760</v>
      </c>
      <c r="L52" s="2" t="s">
        <v>761</v>
      </c>
      <c r="M52" s="3" t="s">
        <v>762</v>
      </c>
      <c r="N52" s="2" t="s">
        <v>763</v>
      </c>
      <c r="O52" s="3" t="s">
        <v>64</v>
      </c>
      <c r="P52" s="3" t="s">
        <v>177</v>
      </c>
      <c r="R52" s="3" t="s">
        <v>66</v>
      </c>
      <c r="S52" s="4">
        <v>9</v>
      </c>
      <c r="T52" s="4">
        <v>9</v>
      </c>
      <c r="U52" s="5" t="s">
        <v>764</v>
      </c>
      <c r="V52" s="5" t="s">
        <v>764</v>
      </c>
      <c r="W52" s="5" t="s">
        <v>453</v>
      </c>
      <c r="X52" s="5" t="s">
        <v>453</v>
      </c>
      <c r="Y52" s="4">
        <v>22</v>
      </c>
      <c r="Z52" s="4">
        <v>20</v>
      </c>
      <c r="AA52" s="4">
        <v>483</v>
      </c>
      <c r="AB52" s="4">
        <v>1</v>
      </c>
      <c r="AC52" s="4">
        <v>5</v>
      </c>
      <c r="AD52" s="4">
        <v>1</v>
      </c>
      <c r="AE52" s="4">
        <v>9</v>
      </c>
      <c r="AF52" s="4">
        <v>1</v>
      </c>
      <c r="AG52" s="4">
        <v>4</v>
      </c>
      <c r="AH52" s="4">
        <v>0</v>
      </c>
      <c r="AI52" s="4">
        <v>1</v>
      </c>
      <c r="AJ52" s="4">
        <v>0</v>
      </c>
      <c r="AK52" s="4">
        <v>1</v>
      </c>
      <c r="AL52" s="4">
        <v>0</v>
      </c>
      <c r="AM52" s="4">
        <v>3</v>
      </c>
      <c r="AN52" s="4">
        <v>0</v>
      </c>
      <c r="AO52" s="4">
        <v>0</v>
      </c>
      <c r="AP52" s="3" t="s">
        <v>58</v>
      </c>
      <c r="AQ52" s="3" t="s">
        <v>58</v>
      </c>
      <c r="AS52" s="6" t="str">
        <f>HYPERLINK("https://creighton-primo.hosted.exlibrisgroup.com/primo-explore/search?tab=default_tab&amp;search_scope=EVERYTHING&amp;vid=01CRU&amp;lang=en_US&amp;offset=0&amp;query=any,contains,991004890659702656","Catalog Record")</f>
        <v>Catalog Record</v>
      </c>
      <c r="AT52" s="6" t="str">
        <f>HYPERLINK("http://www.worldcat.org/oclc/5868116","WorldCat Record")</f>
        <v>WorldCat Record</v>
      </c>
      <c r="AU52" s="3" t="s">
        <v>765</v>
      </c>
      <c r="AV52" s="3" t="s">
        <v>766</v>
      </c>
      <c r="AW52" s="3" t="s">
        <v>767</v>
      </c>
      <c r="AX52" s="3" t="s">
        <v>767</v>
      </c>
      <c r="AY52" s="3" t="s">
        <v>768</v>
      </c>
      <c r="AZ52" s="3" t="s">
        <v>73</v>
      </c>
      <c r="BC52" s="3" t="s">
        <v>769</v>
      </c>
      <c r="BD52" s="3" t="s">
        <v>770</v>
      </c>
    </row>
    <row r="53" spans="1:56" ht="45" customHeight="1" x14ac:dyDescent="0.25">
      <c r="A53" s="8" t="s">
        <v>58</v>
      </c>
      <c r="B53" s="2" t="s">
        <v>771</v>
      </c>
      <c r="C53" s="2" t="s">
        <v>772</v>
      </c>
      <c r="D53" s="2" t="s">
        <v>773</v>
      </c>
      <c r="F53" s="3" t="s">
        <v>58</v>
      </c>
      <c r="G53" s="3" t="s">
        <v>59</v>
      </c>
      <c r="H53" s="3" t="s">
        <v>58</v>
      </c>
      <c r="I53" s="3" t="s">
        <v>58</v>
      </c>
      <c r="J53" s="3" t="s">
        <v>60</v>
      </c>
      <c r="K53" s="2" t="s">
        <v>774</v>
      </c>
      <c r="L53" s="2" t="s">
        <v>775</v>
      </c>
      <c r="M53" s="3" t="s">
        <v>509</v>
      </c>
      <c r="O53" s="3" t="s">
        <v>64</v>
      </c>
      <c r="P53" s="3" t="s">
        <v>114</v>
      </c>
      <c r="Q53" s="2" t="s">
        <v>776</v>
      </c>
      <c r="R53" s="3" t="s">
        <v>66</v>
      </c>
      <c r="S53" s="4">
        <v>1</v>
      </c>
      <c r="T53" s="4">
        <v>1</v>
      </c>
      <c r="U53" s="5" t="s">
        <v>777</v>
      </c>
      <c r="V53" s="5" t="s">
        <v>777</v>
      </c>
      <c r="W53" s="5" t="s">
        <v>778</v>
      </c>
      <c r="X53" s="5" t="s">
        <v>778</v>
      </c>
      <c r="Y53" s="4">
        <v>313</v>
      </c>
      <c r="Z53" s="4">
        <v>251</v>
      </c>
      <c r="AA53" s="4">
        <v>319</v>
      </c>
      <c r="AB53" s="4">
        <v>2</v>
      </c>
      <c r="AC53" s="4">
        <v>3</v>
      </c>
      <c r="AD53" s="4">
        <v>11</v>
      </c>
      <c r="AE53" s="4">
        <v>15</v>
      </c>
      <c r="AF53" s="4">
        <v>3</v>
      </c>
      <c r="AG53" s="4">
        <v>4</v>
      </c>
      <c r="AH53" s="4">
        <v>6</v>
      </c>
      <c r="AI53" s="4">
        <v>6</v>
      </c>
      <c r="AJ53" s="4">
        <v>6</v>
      </c>
      <c r="AK53" s="4">
        <v>8</v>
      </c>
      <c r="AL53" s="4">
        <v>1</v>
      </c>
      <c r="AM53" s="4">
        <v>2</v>
      </c>
      <c r="AN53" s="4">
        <v>0</v>
      </c>
      <c r="AO53" s="4">
        <v>0</v>
      </c>
      <c r="AP53" s="3" t="s">
        <v>58</v>
      </c>
      <c r="AQ53" s="3" t="s">
        <v>58</v>
      </c>
      <c r="AS53" s="6" t="str">
        <f>HYPERLINK("https://creighton-primo.hosted.exlibrisgroup.com/primo-explore/search?tab=default_tab&amp;search_scope=EVERYTHING&amp;vid=01CRU&amp;lang=en_US&amp;offset=0&amp;query=any,contains,991002512539702656","Catalog Record")</f>
        <v>Catalog Record</v>
      </c>
      <c r="AT53" s="6" t="str">
        <f>HYPERLINK("http://www.worldcat.org/oclc/32665906","WorldCat Record")</f>
        <v>WorldCat Record</v>
      </c>
      <c r="AU53" s="3" t="s">
        <v>779</v>
      </c>
      <c r="AV53" s="3" t="s">
        <v>780</v>
      </c>
      <c r="AW53" s="3" t="s">
        <v>781</v>
      </c>
      <c r="AX53" s="3" t="s">
        <v>781</v>
      </c>
      <c r="AY53" s="3" t="s">
        <v>782</v>
      </c>
      <c r="AZ53" s="3" t="s">
        <v>73</v>
      </c>
      <c r="BB53" s="3" t="s">
        <v>783</v>
      </c>
      <c r="BC53" s="3" t="s">
        <v>784</v>
      </c>
      <c r="BD53" s="3" t="s">
        <v>785</v>
      </c>
    </row>
    <row r="54" spans="1:56" ht="45" customHeight="1" x14ac:dyDescent="0.25">
      <c r="A54" s="8" t="s">
        <v>58</v>
      </c>
      <c r="B54" s="2" t="s">
        <v>786</v>
      </c>
      <c r="C54" s="2" t="s">
        <v>787</v>
      </c>
      <c r="D54" s="2" t="s">
        <v>788</v>
      </c>
      <c r="F54" s="3" t="s">
        <v>58</v>
      </c>
      <c r="G54" s="3" t="s">
        <v>59</v>
      </c>
      <c r="H54" s="3" t="s">
        <v>58</v>
      </c>
      <c r="I54" s="3" t="s">
        <v>58</v>
      </c>
      <c r="J54" s="3" t="s">
        <v>60</v>
      </c>
      <c r="K54" s="2" t="s">
        <v>789</v>
      </c>
      <c r="L54" s="2" t="s">
        <v>790</v>
      </c>
      <c r="M54" s="3" t="s">
        <v>306</v>
      </c>
      <c r="N54" s="2" t="s">
        <v>791</v>
      </c>
      <c r="O54" s="3" t="s">
        <v>64</v>
      </c>
      <c r="P54" s="3" t="s">
        <v>177</v>
      </c>
      <c r="R54" s="3" t="s">
        <v>66</v>
      </c>
      <c r="S54" s="4">
        <v>4</v>
      </c>
      <c r="T54" s="4">
        <v>4</v>
      </c>
      <c r="U54" s="5" t="s">
        <v>792</v>
      </c>
      <c r="V54" s="5" t="s">
        <v>792</v>
      </c>
      <c r="W54" s="5" t="s">
        <v>793</v>
      </c>
      <c r="X54" s="5" t="s">
        <v>793</v>
      </c>
      <c r="Y54" s="4">
        <v>232</v>
      </c>
      <c r="Z54" s="4">
        <v>211</v>
      </c>
      <c r="AA54" s="4">
        <v>277</v>
      </c>
      <c r="AB54" s="4">
        <v>1</v>
      </c>
      <c r="AC54" s="4">
        <v>3</v>
      </c>
      <c r="AD54" s="4">
        <v>4</v>
      </c>
      <c r="AE54" s="4">
        <v>6</v>
      </c>
      <c r="AF54" s="4">
        <v>2</v>
      </c>
      <c r="AG54" s="4">
        <v>2</v>
      </c>
      <c r="AH54" s="4">
        <v>0</v>
      </c>
      <c r="AI54" s="4">
        <v>0</v>
      </c>
      <c r="AJ54" s="4">
        <v>4</v>
      </c>
      <c r="AK54" s="4">
        <v>6</v>
      </c>
      <c r="AL54" s="4">
        <v>0</v>
      </c>
      <c r="AM54" s="4">
        <v>0</v>
      </c>
      <c r="AN54" s="4">
        <v>0</v>
      </c>
      <c r="AO54" s="4">
        <v>0</v>
      </c>
      <c r="AP54" s="3" t="s">
        <v>58</v>
      </c>
      <c r="AQ54" s="3" t="s">
        <v>68</v>
      </c>
      <c r="AR54" s="6" t="str">
        <f>HYPERLINK("http://catalog.hathitrust.org/Record/002069604","HathiTrust Record")</f>
        <v>HathiTrust Record</v>
      </c>
      <c r="AS54" s="6" t="str">
        <f>HYPERLINK("https://creighton-primo.hosted.exlibrisgroup.com/primo-explore/search?tab=default_tab&amp;search_scope=EVERYTHING&amp;vid=01CRU&amp;lang=en_US&amp;offset=0&amp;query=any,contains,991003130039702656","Catalog Record")</f>
        <v>Catalog Record</v>
      </c>
      <c r="AT54" s="6" t="str">
        <f>HYPERLINK("http://www.worldcat.org/oclc/673288","WorldCat Record")</f>
        <v>WorldCat Record</v>
      </c>
      <c r="AU54" s="3" t="s">
        <v>794</v>
      </c>
      <c r="AV54" s="3" t="s">
        <v>795</v>
      </c>
      <c r="AW54" s="3" t="s">
        <v>796</v>
      </c>
      <c r="AX54" s="3" t="s">
        <v>796</v>
      </c>
      <c r="AY54" s="3" t="s">
        <v>797</v>
      </c>
      <c r="AZ54" s="3" t="s">
        <v>73</v>
      </c>
      <c r="BB54" s="3" t="s">
        <v>798</v>
      </c>
      <c r="BC54" s="3" t="s">
        <v>799</v>
      </c>
      <c r="BD54" s="3" t="s">
        <v>800</v>
      </c>
    </row>
    <row r="55" spans="1:56" ht="45" customHeight="1" x14ac:dyDescent="0.25">
      <c r="A55" s="8" t="s">
        <v>58</v>
      </c>
      <c r="B55" s="2" t="s">
        <v>801</v>
      </c>
      <c r="C55" s="2" t="s">
        <v>802</v>
      </c>
      <c r="D55" s="2" t="s">
        <v>803</v>
      </c>
      <c r="F55" s="3" t="s">
        <v>58</v>
      </c>
      <c r="G55" s="3" t="s">
        <v>59</v>
      </c>
      <c r="H55" s="3" t="s">
        <v>58</v>
      </c>
      <c r="I55" s="3" t="s">
        <v>58</v>
      </c>
      <c r="J55" s="3" t="s">
        <v>60</v>
      </c>
      <c r="K55" s="2" t="s">
        <v>804</v>
      </c>
      <c r="L55" s="2" t="s">
        <v>805</v>
      </c>
      <c r="M55" s="3" t="s">
        <v>681</v>
      </c>
      <c r="O55" s="3" t="s">
        <v>64</v>
      </c>
      <c r="P55" s="3" t="s">
        <v>130</v>
      </c>
      <c r="R55" s="3" t="s">
        <v>66</v>
      </c>
      <c r="S55" s="4">
        <v>7</v>
      </c>
      <c r="T55" s="4">
        <v>7</v>
      </c>
      <c r="U55" s="5" t="s">
        <v>806</v>
      </c>
      <c r="V55" s="5" t="s">
        <v>806</v>
      </c>
      <c r="W55" s="5" t="s">
        <v>453</v>
      </c>
      <c r="X55" s="5" t="s">
        <v>453</v>
      </c>
      <c r="Y55" s="4">
        <v>109</v>
      </c>
      <c r="Z55" s="4">
        <v>101</v>
      </c>
      <c r="AA55" s="4">
        <v>189</v>
      </c>
      <c r="AB55" s="4">
        <v>2</v>
      </c>
      <c r="AC55" s="4">
        <v>2</v>
      </c>
      <c r="AD55" s="4">
        <v>6</v>
      </c>
      <c r="AE55" s="4">
        <v>8</v>
      </c>
      <c r="AF55" s="4">
        <v>4</v>
      </c>
      <c r="AG55" s="4">
        <v>5</v>
      </c>
      <c r="AH55" s="4">
        <v>0</v>
      </c>
      <c r="AI55" s="4">
        <v>0</v>
      </c>
      <c r="AJ55" s="4">
        <v>3</v>
      </c>
      <c r="AK55" s="4">
        <v>5</v>
      </c>
      <c r="AL55" s="4">
        <v>1</v>
      </c>
      <c r="AM55" s="4">
        <v>1</v>
      </c>
      <c r="AN55" s="4">
        <v>0</v>
      </c>
      <c r="AO55" s="4">
        <v>0</v>
      </c>
      <c r="AP55" s="3" t="s">
        <v>58</v>
      </c>
      <c r="AQ55" s="3" t="s">
        <v>58</v>
      </c>
      <c r="AS55" s="6" t="str">
        <f>HYPERLINK("https://creighton-primo.hosted.exlibrisgroup.com/primo-explore/search?tab=default_tab&amp;search_scope=EVERYTHING&amp;vid=01CRU&amp;lang=en_US&amp;offset=0&amp;query=any,contains,991000278489702656","Catalog Record")</f>
        <v>Catalog Record</v>
      </c>
      <c r="AT55" s="6" t="str">
        <f>HYPERLINK("http://www.worldcat.org/oclc/9904685","WorldCat Record")</f>
        <v>WorldCat Record</v>
      </c>
      <c r="AU55" s="3" t="s">
        <v>807</v>
      </c>
      <c r="AV55" s="3" t="s">
        <v>808</v>
      </c>
      <c r="AW55" s="3" t="s">
        <v>809</v>
      </c>
      <c r="AX55" s="3" t="s">
        <v>809</v>
      </c>
      <c r="AY55" s="3" t="s">
        <v>810</v>
      </c>
      <c r="AZ55" s="3" t="s">
        <v>73</v>
      </c>
      <c r="BC55" s="3" t="s">
        <v>811</v>
      </c>
      <c r="BD55" s="3" t="s">
        <v>812</v>
      </c>
    </row>
    <row r="56" spans="1:56" ht="45" customHeight="1" x14ac:dyDescent="0.25">
      <c r="A56" s="8" t="s">
        <v>58</v>
      </c>
      <c r="B56" s="2" t="s">
        <v>813</v>
      </c>
      <c r="C56" s="2" t="s">
        <v>814</v>
      </c>
      <c r="D56" s="2" t="s">
        <v>815</v>
      </c>
      <c r="F56" s="3" t="s">
        <v>58</v>
      </c>
      <c r="G56" s="3" t="s">
        <v>59</v>
      </c>
      <c r="H56" s="3" t="s">
        <v>58</v>
      </c>
      <c r="I56" s="3" t="s">
        <v>58</v>
      </c>
      <c r="J56" s="3" t="s">
        <v>60</v>
      </c>
      <c r="K56" s="2" t="s">
        <v>816</v>
      </c>
      <c r="L56" s="2" t="s">
        <v>817</v>
      </c>
      <c r="M56" s="3" t="s">
        <v>350</v>
      </c>
      <c r="N56" s="2" t="s">
        <v>818</v>
      </c>
      <c r="O56" s="3" t="s">
        <v>64</v>
      </c>
      <c r="P56" s="3" t="s">
        <v>177</v>
      </c>
      <c r="R56" s="3" t="s">
        <v>66</v>
      </c>
      <c r="S56" s="4">
        <v>7</v>
      </c>
      <c r="T56" s="4">
        <v>7</v>
      </c>
      <c r="U56" s="5" t="s">
        <v>819</v>
      </c>
      <c r="V56" s="5" t="s">
        <v>819</v>
      </c>
      <c r="W56" s="5" t="s">
        <v>321</v>
      </c>
      <c r="X56" s="5" t="s">
        <v>321</v>
      </c>
      <c r="Y56" s="4">
        <v>283</v>
      </c>
      <c r="Z56" s="4">
        <v>265</v>
      </c>
      <c r="AA56" s="4">
        <v>722</v>
      </c>
      <c r="AB56" s="4">
        <v>3</v>
      </c>
      <c r="AC56" s="4">
        <v>6</v>
      </c>
      <c r="AD56" s="4">
        <v>3</v>
      </c>
      <c r="AE56" s="4">
        <v>7</v>
      </c>
      <c r="AF56" s="4">
        <v>1</v>
      </c>
      <c r="AG56" s="4">
        <v>3</v>
      </c>
      <c r="AH56" s="4">
        <v>0</v>
      </c>
      <c r="AI56" s="4">
        <v>0</v>
      </c>
      <c r="AJ56" s="4">
        <v>1</v>
      </c>
      <c r="AK56" s="4">
        <v>3</v>
      </c>
      <c r="AL56" s="4">
        <v>1</v>
      </c>
      <c r="AM56" s="4">
        <v>2</v>
      </c>
      <c r="AN56" s="4">
        <v>0</v>
      </c>
      <c r="AO56" s="4">
        <v>0</v>
      </c>
      <c r="AP56" s="3" t="s">
        <v>58</v>
      </c>
      <c r="AQ56" s="3" t="s">
        <v>68</v>
      </c>
      <c r="AR56" s="6" t="str">
        <f>HYPERLINK("http://catalog.hathitrust.org/Record/001578924","HathiTrust Record")</f>
        <v>HathiTrust Record</v>
      </c>
      <c r="AS56" s="6" t="str">
        <f>HYPERLINK("https://creighton-primo.hosted.exlibrisgroup.com/primo-explore/search?tab=default_tab&amp;search_scope=EVERYTHING&amp;vid=01CRU&amp;lang=en_US&amp;offset=0&amp;query=any,contains,991003548549702656","Catalog Record")</f>
        <v>Catalog Record</v>
      </c>
      <c r="AT56" s="6" t="str">
        <f>HYPERLINK("http://www.worldcat.org/oclc/1115939","WorldCat Record")</f>
        <v>WorldCat Record</v>
      </c>
      <c r="AU56" s="3" t="s">
        <v>820</v>
      </c>
      <c r="AV56" s="3" t="s">
        <v>821</v>
      </c>
      <c r="AW56" s="3" t="s">
        <v>822</v>
      </c>
      <c r="AX56" s="3" t="s">
        <v>822</v>
      </c>
      <c r="AY56" s="3" t="s">
        <v>823</v>
      </c>
      <c r="AZ56" s="3" t="s">
        <v>73</v>
      </c>
      <c r="BB56" s="3" t="s">
        <v>824</v>
      </c>
      <c r="BC56" s="3" t="s">
        <v>825</v>
      </c>
      <c r="BD56" s="3" t="s">
        <v>826</v>
      </c>
    </row>
    <row r="57" spans="1:56" ht="45" customHeight="1" x14ac:dyDescent="0.25">
      <c r="A57" s="8" t="s">
        <v>58</v>
      </c>
      <c r="B57" s="2" t="s">
        <v>827</v>
      </c>
      <c r="C57" s="2" t="s">
        <v>828</v>
      </c>
      <c r="D57" s="2" t="s">
        <v>829</v>
      </c>
      <c r="F57" s="3" t="s">
        <v>58</v>
      </c>
      <c r="G57" s="3" t="s">
        <v>59</v>
      </c>
      <c r="H57" s="3" t="s">
        <v>58</v>
      </c>
      <c r="I57" s="3" t="s">
        <v>58</v>
      </c>
      <c r="J57" s="3" t="s">
        <v>60</v>
      </c>
      <c r="K57" s="2" t="s">
        <v>830</v>
      </c>
      <c r="L57" s="2" t="s">
        <v>831</v>
      </c>
      <c r="M57" s="3" t="s">
        <v>832</v>
      </c>
      <c r="O57" s="3" t="s">
        <v>64</v>
      </c>
      <c r="P57" s="3" t="s">
        <v>177</v>
      </c>
      <c r="R57" s="3" t="s">
        <v>66</v>
      </c>
      <c r="S57" s="4">
        <v>2</v>
      </c>
      <c r="T57" s="4">
        <v>2</v>
      </c>
      <c r="U57" s="5" t="s">
        <v>833</v>
      </c>
      <c r="V57" s="5" t="s">
        <v>833</v>
      </c>
      <c r="W57" s="5" t="s">
        <v>833</v>
      </c>
      <c r="X57" s="5" t="s">
        <v>833</v>
      </c>
      <c r="Y57" s="4">
        <v>294</v>
      </c>
      <c r="Z57" s="4">
        <v>255</v>
      </c>
      <c r="AA57" s="4">
        <v>689</v>
      </c>
      <c r="AB57" s="4">
        <v>4</v>
      </c>
      <c r="AC57" s="4">
        <v>16</v>
      </c>
      <c r="AD57" s="4">
        <v>2</v>
      </c>
      <c r="AE57" s="4">
        <v>18</v>
      </c>
      <c r="AF57" s="4">
        <v>1</v>
      </c>
      <c r="AG57" s="4">
        <v>8</v>
      </c>
      <c r="AH57" s="4">
        <v>0</v>
      </c>
      <c r="AI57" s="4">
        <v>2</v>
      </c>
      <c r="AJ57" s="4">
        <v>1</v>
      </c>
      <c r="AK57" s="4">
        <v>2</v>
      </c>
      <c r="AL57" s="4">
        <v>1</v>
      </c>
      <c r="AM57" s="4">
        <v>9</v>
      </c>
      <c r="AN57" s="4">
        <v>0</v>
      </c>
      <c r="AO57" s="4">
        <v>0</v>
      </c>
      <c r="AP57" s="3" t="s">
        <v>58</v>
      </c>
      <c r="AQ57" s="3" t="s">
        <v>58</v>
      </c>
      <c r="AS57" s="6" t="str">
        <f>HYPERLINK("https://creighton-primo.hosted.exlibrisgroup.com/primo-explore/search?tab=default_tab&amp;search_scope=EVERYTHING&amp;vid=01CRU&amp;lang=en_US&amp;offset=0&amp;query=any,contains,991005186459702656","Catalog Record")</f>
        <v>Catalog Record</v>
      </c>
      <c r="AT57" s="6" t="str">
        <f>HYPERLINK("http://www.worldcat.org/oclc/154772612","WorldCat Record")</f>
        <v>WorldCat Record</v>
      </c>
      <c r="AU57" s="3" t="s">
        <v>834</v>
      </c>
      <c r="AV57" s="3" t="s">
        <v>835</v>
      </c>
      <c r="AW57" s="3" t="s">
        <v>836</v>
      </c>
      <c r="AX57" s="3" t="s">
        <v>836</v>
      </c>
      <c r="AY57" s="3" t="s">
        <v>837</v>
      </c>
      <c r="AZ57" s="3" t="s">
        <v>73</v>
      </c>
      <c r="BB57" s="3" t="s">
        <v>838</v>
      </c>
      <c r="BC57" s="3" t="s">
        <v>839</v>
      </c>
      <c r="BD57" s="3" t="s">
        <v>840</v>
      </c>
    </row>
    <row r="58" spans="1:56" ht="45" customHeight="1" x14ac:dyDescent="0.25">
      <c r="A58" s="8" t="s">
        <v>58</v>
      </c>
      <c r="B58" s="2" t="s">
        <v>841</v>
      </c>
      <c r="C58" s="2" t="s">
        <v>842</v>
      </c>
      <c r="D58" s="2" t="s">
        <v>843</v>
      </c>
      <c r="F58" s="3" t="s">
        <v>58</v>
      </c>
      <c r="G58" s="3" t="s">
        <v>59</v>
      </c>
      <c r="H58" s="3" t="s">
        <v>58</v>
      </c>
      <c r="I58" s="3" t="s">
        <v>58</v>
      </c>
      <c r="J58" s="3" t="s">
        <v>60</v>
      </c>
      <c r="K58" s="2" t="s">
        <v>844</v>
      </c>
      <c r="L58" s="2" t="s">
        <v>845</v>
      </c>
      <c r="M58" s="3" t="s">
        <v>552</v>
      </c>
      <c r="N58" s="2" t="s">
        <v>567</v>
      </c>
      <c r="O58" s="3" t="s">
        <v>64</v>
      </c>
      <c r="P58" s="3" t="s">
        <v>846</v>
      </c>
      <c r="R58" s="3" t="s">
        <v>66</v>
      </c>
      <c r="S58" s="4">
        <v>5</v>
      </c>
      <c r="T58" s="4">
        <v>5</v>
      </c>
      <c r="U58" s="5" t="s">
        <v>847</v>
      </c>
      <c r="V58" s="5" t="s">
        <v>847</v>
      </c>
      <c r="W58" s="5" t="s">
        <v>848</v>
      </c>
      <c r="X58" s="5" t="s">
        <v>848</v>
      </c>
      <c r="Y58" s="4">
        <v>225</v>
      </c>
      <c r="Z58" s="4">
        <v>197</v>
      </c>
      <c r="AA58" s="4">
        <v>781</v>
      </c>
      <c r="AB58" s="4">
        <v>2</v>
      </c>
      <c r="AC58" s="4">
        <v>4</v>
      </c>
      <c r="AD58" s="4">
        <v>7</v>
      </c>
      <c r="AE58" s="4">
        <v>27</v>
      </c>
      <c r="AF58" s="4">
        <v>3</v>
      </c>
      <c r="AG58" s="4">
        <v>11</v>
      </c>
      <c r="AH58" s="4">
        <v>2</v>
      </c>
      <c r="AI58" s="4">
        <v>8</v>
      </c>
      <c r="AJ58" s="4">
        <v>5</v>
      </c>
      <c r="AK58" s="4">
        <v>15</v>
      </c>
      <c r="AL58" s="4">
        <v>1</v>
      </c>
      <c r="AM58" s="4">
        <v>2</v>
      </c>
      <c r="AN58" s="4">
        <v>0</v>
      </c>
      <c r="AO58" s="4">
        <v>0</v>
      </c>
      <c r="AP58" s="3" t="s">
        <v>58</v>
      </c>
      <c r="AQ58" s="3" t="s">
        <v>58</v>
      </c>
      <c r="AS58" s="6" t="str">
        <f>HYPERLINK("https://creighton-primo.hosted.exlibrisgroup.com/primo-explore/search?tab=default_tab&amp;search_scope=EVERYTHING&amp;vid=01CRU&amp;lang=en_US&amp;offset=0&amp;query=any,contains,991001286839702656","Catalog Record")</f>
        <v>Catalog Record</v>
      </c>
      <c r="AT58" s="6" t="str">
        <f>HYPERLINK("http://www.worldcat.org/oclc/17954715","WorldCat Record")</f>
        <v>WorldCat Record</v>
      </c>
      <c r="AU58" s="3" t="s">
        <v>849</v>
      </c>
      <c r="AV58" s="3" t="s">
        <v>850</v>
      </c>
      <c r="AW58" s="3" t="s">
        <v>851</v>
      </c>
      <c r="AX58" s="3" t="s">
        <v>851</v>
      </c>
      <c r="AY58" s="3" t="s">
        <v>852</v>
      </c>
      <c r="AZ58" s="3" t="s">
        <v>73</v>
      </c>
      <c r="BB58" s="3" t="s">
        <v>853</v>
      </c>
      <c r="BC58" s="3" t="s">
        <v>854</v>
      </c>
      <c r="BD58" s="3" t="s">
        <v>855</v>
      </c>
    </row>
    <row r="59" spans="1:56" ht="45" customHeight="1" x14ac:dyDescent="0.25">
      <c r="A59" s="8" t="s">
        <v>58</v>
      </c>
      <c r="B59" s="2" t="s">
        <v>856</v>
      </c>
      <c r="C59" s="2" t="s">
        <v>857</v>
      </c>
      <c r="D59" s="2" t="s">
        <v>858</v>
      </c>
      <c r="F59" s="3" t="s">
        <v>58</v>
      </c>
      <c r="G59" s="3" t="s">
        <v>59</v>
      </c>
      <c r="H59" s="3" t="s">
        <v>58</v>
      </c>
      <c r="I59" s="3" t="s">
        <v>58</v>
      </c>
      <c r="J59" s="3" t="s">
        <v>60</v>
      </c>
      <c r="K59" s="2" t="s">
        <v>859</v>
      </c>
      <c r="L59" s="2" t="s">
        <v>860</v>
      </c>
      <c r="M59" s="3" t="s">
        <v>762</v>
      </c>
      <c r="N59" s="2" t="s">
        <v>791</v>
      </c>
      <c r="O59" s="3" t="s">
        <v>64</v>
      </c>
      <c r="P59" s="3" t="s">
        <v>422</v>
      </c>
      <c r="R59" s="3" t="s">
        <v>66</v>
      </c>
      <c r="S59" s="4">
        <v>5</v>
      </c>
      <c r="T59" s="4">
        <v>5</v>
      </c>
      <c r="U59" s="5" t="s">
        <v>861</v>
      </c>
      <c r="V59" s="5" t="s">
        <v>861</v>
      </c>
      <c r="W59" s="5" t="s">
        <v>862</v>
      </c>
      <c r="X59" s="5" t="s">
        <v>862</v>
      </c>
      <c r="Y59" s="4">
        <v>264</v>
      </c>
      <c r="Z59" s="4">
        <v>216</v>
      </c>
      <c r="AA59" s="4">
        <v>219</v>
      </c>
      <c r="AB59" s="4">
        <v>2</v>
      </c>
      <c r="AC59" s="4">
        <v>2</v>
      </c>
      <c r="AD59" s="4">
        <v>3</v>
      </c>
      <c r="AE59" s="4">
        <v>3</v>
      </c>
      <c r="AF59" s="4">
        <v>0</v>
      </c>
      <c r="AG59" s="4">
        <v>0</v>
      </c>
      <c r="AH59" s="4">
        <v>0</v>
      </c>
      <c r="AI59" s="4">
        <v>0</v>
      </c>
      <c r="AJ59" s="4">
        <v>3</v>
      </c>
      <c r="AK59" s="4">
        <v>3</v>
      </c>
      <c r="AL59" s="4">
        <v>0</v>
      </c>
      <c r="AM59" s="4">
        <v>0</v>
      </c>
      <c r="AN59" s="4">
        <v>0</v>
      </c>
      <c r="AO59" s="4">
        <v>0</v>
      </c>
      <c r="AP59" s="3" t="s">
        <v>58</v>
      </c>
      <c r="AQ59" s="3" t="s">
        <v>68</v>
      </c>
      <c r="AR59" s="6" t="str">
        <f>HYPERLINK("http://catalog.hathitrust.org/Record/001570408","HathiTrust Record")</f>
        <v>HathiTrust Record</v>
      </c>
      <c r="AS59" s="6" t="str">
        <f>HYPERLINK("https://creighton-primo.hosted.exlibrisgroup.com/primo-explore/search?tab=default_tab&amp;search_scope=EVERYTHING&amp;vid=01CRU&amp;lang=en_US&amp;offset=0&amp;query=any,contains,991005264999702656","Catalog Record")</f>
        <v>Catalog Record</v>
      </c>
      <c r="AT59" s="6" t="str">
        <f>HYPERLINK("http://www.worldcat.org/oclc/340979","WorldCat Record")</f>
        <v>WorldCat Record</v>
      </c>
      <c r="AU59" s="3" t="s">
        <v>863</v>
      </c>
      <c r="AV59" s="3" t="s">
        <v>864</v>
      </c>
      <c r="AW59" s="3" t="s">
        <v>865</v>
      </c>
      <c r="AX59" s="3" t="s">
        <v>865</v>
      </c>
      <c r="AY59" s="3" t="s">
        <v>866</v>
      </c>
      <c r="AZ59" s="3" t="s">
        <v>73</v>
      </c>
      <c r="BB59" s="3" t="s">
        <v>867</v>
      </c>
      <c r="BC59" s="3" t="s">
        <v>868</v>
      </c>
      <c r="BD59" s="3" t="s">
        <v>869</v>
      </c>
    </row>
    <row r="60" spans="1:56" ht="45" customHeight="1" x14ac:dyDescent="0.25">
      <c r="A60" s="8" t="s">
        <v>58</v>
      </c>
      <c r="B60" s="2" t="s">
        <v>870</v>
      </c>
      <c r="C60" s="2" t="s">
        <v>871</v>
      </c>
      <c r="D60" s="2" t="s">
        <v>872</v>
      </c>
      <c r="F60" s="3" t="s">
        <v>58</v>
      </c>
      <c r="G60" s="3" t="s">
        <v>59</v>
      </c>
      <c r="H60" s="3" t="s">
        <v>58</v>
      </c>
      <c r="I60" s="3" t="s">
        <v>58</v>
      </c>
      <c r="J60" s="3" t="s">
        <v>60</v>
      </c>
      <c r="K60" s="2" t="s">
        <v>873</v>
      </c>
      <c r="L60" s="2" t="s">
        <v>874</v>
      </c>
      <c r="M60" s="3" t="s">
        <v>393</v>
      </c>
      <c r="N60" s="2" t="s">
        <v>875</v>
      </c>
      <c r="O60" s="3" t="s">
        <v>64</v>
      </c>
      <c r="P60" s="3" t="s">
        <v>846</v>
      </c>
      <c r="R60" s="3" t="s">
        <v>66</v>
      </c>
      <c r="S60" s="4">
        <v>3</v>
      </c>
      <c r="T60" s="4">
        <v>3</v>
      </c>
      <c r="U60" s="5" t="s">
        <v>876</v>
      </c>
      <c r="V60" s="5" t="s">
        <v>876</v>
      </c>
      <c r="W60" s="5" t="s">
        <v>453</v>
      </c>
      <c r="X60" s="5" t="s">
        <v>453</v>
      </c>
      <c r="Y60" s="4">
        <v>423</v>
      </c>
      <c r="Z60" s="4">
        <v>350</v>
      </c>
      <c r="AA60" s="4">
        <v>527</v>
      </c>
      <c r="AB60" s="4">
        <v>6</v>
      </c>
      <c r="AC60" s="4">
        <v>7</v>
      </c>
      <c r="AD60" s="4">
        <v>12</v>
      </c>
      <c r="AE60" s="4">
        <v>18</v>
      </c>
      <c r="AF60" s="4">
        <v>4</v>
      </c>
      <c r="AG60" s="4">
        <v>7</v>
      </c>
      <c r="AH60" s="4">
        <v>2</v>
      </c>
      <c r="AI60" s="4">
        <v>3</v>
      </c>
      <c r="AJ60" s="4">
        <v>8</v>
      </c>
      <c r="AK60" s="4">
        <v>10</v>
      </c>
      <c r="AL60" s="4">
        <v>2</v>
      </c>
      <c r="AM60" s="4">
        <v>2</v>
      </c>
      <c r="AN60" s="4">
        <v>0</v>
      </c>
      <c r="AO60" s="4">
        <v>0</v>
      </c>
      <c r="AP60" s="3" t="s">
        <v>58</v>
      </c>
      <c r="AQ60" s="3" t="s">
        <v>68</v>
      </c>
      <c r="AR60" s="6" t="str">
        <f>HYPERLINK("http://catalog.hathitrust.org/Record/000705605","HathiTrust Record")</f>
        <v>HathiTrust Record</v>
      </c>
      <c r="AS60" s="6" t="str">
        <f>HYPERLINK("https://creighton-primo.hosted.exlibrisgroup.com/primo-explore/search?tab=default_tab&amp;search_scope=EVERYTHING&amp;vid=01CRU&amp;lang=en_US&amp;offset=0&amp;query=any,contains,991004896159702656","Catalog Record")</f>
        <v>Catalog Record</v>
      </c>
      <c r="AT60" s="6" t="str">
        <f>HYPERLINK("http://www.worldcat.org/oclc/5894014","WorldCat Record")</f>
        <v>WorldCat Record</v>
      </c>
      <c r="AU60" s="3" t="s">
        <v>877</v>
      </c>
      <c r="AV60" s="3" t="s">
        <v>878</v>
      </c>
      <c r="AW60" s="3" t="s">
        <v>879</v>
      </c>
      <c r="AX60" s="3" t="s">
        <v>879</v>
      </c>
      <c r="AY60" s="3" t="s">
        <v>880</v>
      </c>
      <c r="AZ60" s="3" t="s">
        <v>73</v>
      </c>
      <c r="BB60" s="3" t="s">
        <v>881</v>
      </c>
      <c r="BC60" s="3" t="s">
        <v>882</v>
      </c>
      <c r="BD60" s="3" t="s">
        <v>883</v>
      </c>
    </row>
    <row r="61" spans="1:56" ht="45" customHeight="1" x14ac:dyDescent="0.25">
      <c r="A61" s="8" t="s">
        <v>58</v>
      </c>
      <c r="B61" s="2" t="s">
        <v>884</v>
      </c>
      <c r="C61" s="2" t="s">
        <v>885</v>
      </c>
      <c r="D61" s="2" t="s">
        <v>886</v>
      </c>
      <c r="F61" s="3" t="s">
        <v>58</v>
      </c>
      <c r="G61" s="3" t="s">
        <v>59</v>
      </c>
      <c r="H61" s="3" t="s">
        <v>68</v>
      </c>
      <c r="I61" s="3" t="s">
        <v>58</v>
      </c>
      <c r="J61" s="3" t="s">
        <v>60</v>
      </c>
      <c r="L61" s="2" t="s">
        <v>887</v>
      </c>
      <c r="M61" s="3" t="s">
        <v>681</v>
      </c>
      <c r="O61" s="3" t="s">
        <v>64</v>
      </c>
      <c r="P61" s="3" t="s">
        <v>65</v>
      </c>
      <c r="Q61" s="2" t="s">
        <v>888</v>
      </c>
      <c r="R61" s="3" t="s">
        <v>66</v>
      </c>
      <c r="S61" s="4">
        <v>2</v>
      </c>
      <c r="T61" s="4">
        <v>3</v>
      </c>
      <c r="U61" s="5" t="s">
        <v>889</v>
      </c>
      <c r="V61" s="5" t="s">
        <v>889</v>
      </c>
      <c r="W61" s="5" t="s">
        <v>453</v>
      </c>
      <c r="X61" s="5" t="s">
        <v>453</v>
      </c>
      <c r="Y61" s="4">
        <v>48</v>
      </c>
      <c r="Z61" s="4">
        <v>42</v>
      </c>
      <c r="AA61" s="4">
        <v>44</v>
      </c>
      <c r="AB61" s="4">
        <v>2</v>
      </c>
      <c r="AC61" s="4">
        <v>2</v>
      </c>
      <c r="AD61" s="4">
        <v>1</v>
      </c>
      <c r="AE61" s="4">
        <v>1</v>
      </c>
      <c r="AF61" s="4">
        <v>1</v>
      </c>
      <c r="AG61" s="4">
        <v>1</v>
      </c>
      <c r="AH61" s="4">
        <v>0</v>
      </c>
      <c r="AI61" s="4">
        <v>0</v>
      </c>
      <c r="AJ61" s="4">
        <v>1</v>
      </c>
      <c r="AK61" s="4">
        <v>1</v>
      </c>
      <c r="AL61" s="4">
        <v>0</v>
      </c>
      <c r="AM61" s="4">
        <v>0</v>
      </c>
      <c r="AN61" s="4">
        <v>0</v>
      </c>
      <c r="AO61" s="4">
        <v>0</v>
      </c>
      <c r="AP61" s="3" t="s">
        <v>58</v>
      </c>
      <c r="AQ61" s="3" t="s">
        <v>58</v>
      </c>
      <c r="AS61" s="6" t="str">
        <f>HYPERLINK("https://creighton-primo.hosted.exlibrisgroup.com/primo-explore/search?tab=default_tab&amp;search_scope=EVERYTHING&amp;vid=01CRU&amp;lang=en_US&amp;offset=0&amp;query=any,contains,991001785159702656","Catalog Record")</f>
        <v>Catalog Record</v>
      </c>
      <c r="AT61" s="6" t="str">
        <f>HYPERLINK("http://www.worldcat.org/oclc/9504000","WorldCat Record")</f>
        <v>WorldCat Record</v>
      </c>
      <c r="AU61" s="3" t="s">
        <v>890</v>
      </c>
      <c r="AV61" s="3" t="s">
        <v>891</v>
      </c>
      <c r="AW61" s="3" t="s">
        <v>892</v>
      </c>
      <c r="AX61" s="3" t="s">
        <v>892</v>
      </c>
      <c r="AY61" s="3" t="s">
        <v>893</v>
      </c>
      <c r="AZ61" s="3" t="s">
        <v>73</v>
      </c>
      <c r="BB61" s="3" t="s">
        <v>894</v>
      </c>
      <c r="BC61" s="3" t="s">
        <v>895</v>
      </c>
      <c r="BD61" s="3" t="s">
        <v>896</v>
      </c>
    </row>
    <row r="62" spans="1:56" ht="45" customHeight="1" x14ac:dyDescent="0.25">
      <c r="A62" s="8" t="s">
        <v>58</v>
      </c>
      <c r="B62" s="2" t="s">
        <v>897</v>
      </c>
      <c r="C62" s="2" t="s">
        <v>898</v>
      </c>
      <c r="D62" s="2" t="s">
        <v>899</v>
      </c>
      <c r="F62" s="3" t="s">
        <v>58</v>
      </c>
      <c r="G62" s="3" t="s">
        <v>59</v>
      </c>
      <c r="H62" s="3" t="s">
        <v>68</v>
      </c>
      <c r="I62" s="3" t="s">
        <v>58</v>
      </c>
      <c r="J62" s="3" t="s">
        <v>60</v>
      </c>
      <c r="L62" s="2" t="s">
        <v>900</v>
      </c>
      <c r="M62" s="3" t="s">
        <v>681</v>
      </c>
      <c r="N62" s="2" t="s">
        <v>451</v>
      </c>
      <c r="O62" s="3" t="s">
        <v>64</v>
      </c>
      <c r="P62" s="3" t="s">
        <v>901</v>
      </c>
      <c r="R62" s="3" t="s">
        <v>66</v>
      </c>
      <c r="S62" s="4">
        <v>4</v>
      </c>
      <c r="T62" s="4">
        <v>8</v>
      </c>
      <c r="U62" s="5" t="s">
        <v>902</v>
      </c>
      <c r="V62" s="5" t="s">
        <v>903</v>
      </c>
      <c r="W62" s="5" t="s">
        <v>904</v>
      </c>
      <c r="X62" s="5" t="s">
        <v>904</v>
      </c>
      <c r="Y62" s="4">
        <v>234</v>
      </c>
      <c r="Z62" s="4">
        <v>193</v>
      </c>
      <c r="AA62" s="4">
        <v>195</v>
      </c>
      <c r="AB62" s="4">
        <v>4</v>
      </c>
      <c r="AC62" s="4">
        <v>4</v>
      </c>
      <c r="AD62" s="4">
        <v>5</v>
      </c>
      <c r="AE62" s="4">
        <v>5</v>
      </c>
      <c r="AF62" s="4">
        <v>1</v>
      </c>
      <c r="AG62" s="4">
        <v>1</v>
      </c>
      <c r="AH62" s="4">
        <v>0</v>
      </c>
      <c r="AI62" s="4">
        <v>0</v>
      </c>
      <c r="AJ62" s="4">
        <v>3</v>
      </c>
      <c r="AK62" s="4">
        <v>3</v>
      </c>
      <c r="AL62" s="4">
        <v>1</v>
      </c>
      <c r="AM62" s="4">
        <v>1</v>
      </c>
      <c r="AN62" s="4">
        <v>0</v>
      </c>
      <c r="AO62" s="4">
        <v>0</v>
      </c>
      <c r="AP62" s="3" t="s">
        <v>58</v>
      </c>
      <c r="AQ62" s="3" t="s">
        <v>68</v>
      </c>
      <c r="AR62" s="6" t="str">
        <f>HYPERLINK("http://catalog.hathitrust.org/Record/000118642","HathiTrust Record")</f>
        <v>HathiTrust Record</v>
      </c>
      <c r="AS62" s="6" t="str">
        <f>HYPERLINK("https://creighton-primo.hosted.exlibrisgroup.com/primo-explore/search?tab=default_tab&amp;search_scope=EVERYTHING&amp;vid=01CRU&amp;lang=en_US&amp;offset=0&amp;query=any,contains,991001759349702656","Catalog Record")</f>
        <v>Catalog Record</v>
      </c>
      <c r="AT62" s="6" t="str">
        <f>HYPERLINK("http://www.worldcat.org/oclc/8866177","WorldCat Record")</f>
        <v>WorldCat Record</v>
      </c>
      <c r="AU62" s="3" t="s">
        <v>905</v>
      </c>
      <c r="AV62" s="3" t="s">
        <v>906</v>
      </c>
      <c r="AW62" s="3" t="s">
        <v>907</v>
      </c>
      <c r="AX62" s="3" t="s">
        <v>907</v>
      </c>
      <c r="AY62" s="3" t="s">
        <v>908</v>
      </c>
      <c r="AZ62" s="3" t="s">
        <v>73</v>
      </c>
      <c r="BB62" s="3" t="s">
        <v>909</v>
      </c>
      <c r="BC62" s="3" t="s">
        <v>910</v>
      </c>
      <c r="BD62" s="3" t="s">
        <v>911</v>
      </c>
    </row>
    <row r="63" spans="1:56" ht="45" customHeight="1" x14ac:dyDescent="0.25">
      <c r="A63" s="8" t="s">
        <v>58</v>
      </c>
      <c r="B63" s="2" t="s">
        <v>912</v>
      </c>
      <c r="C63" s="2" t="s">
        <v>913</v>
      </c>
      <c r="D63" s="2" t="s">
        <v>914</v>
      </c>
      <c r="F63" s="3" t="s">
        <v>58</v>
      </c>
      <c r="G63" s="3" t="s">
        <v>59</v>
      </c>
      <c r="H63" s="3" t="s">
        <v>58</v>
      </c>
      <c r="I63" s="3" t="s">
        <v>58</v>
      </c>
      <c r="J63" s="3" t="s">
        <v>60</v>
      </c>
      <c r="L63" s="2" t="s">
        <v>915</v>
      </c>
      <c r="M63" s="3" t="s">
        <v>219</v>
      </c>
      <c r="O63" s="3" t="s">
        <v>64</v>
      </c>
      <c r="P63" s="3" t="s">
        <v>177</v>
      </c>
      <c r="Q63" s="2" t="s">
        <v>916</v>
      </c>
      <c r="R63" s="3" t="s">
        <v>66</v>
      </c>
      <c r="S63" s="4">
        <v>24</v>
      </c>
      <c r="T63" s="4">
        <v>24</v>
      </c>
      <c r="U63" s="5" t="s">
        <v>917</v>
      </c>
      <c r="V63" s="5" t="s">
        <v>917</v>
      </c>
      <c r="W63" s="5" t="s">
        <v>918</v>
      </c>
      <c r="X63" s="5" t="s">
        <v>918</v>
      </c>
      <c r="Y63" s="4">
        <v>337</v>
      </c>
      <c r="Z63" s="4">
        <v>244</v>
      </c>
      <c r="AA63" s="4">
        <v>267</v>
      </c>
      <c r="AB63" s="4">
        <v>2</v>
      </c>
      <c r="AC63" s="4">
        <v>2</v>
      </c>
      <c r="AD63" s="4">
        <v>8</v>
      </c>
      <c r="AE63" s="4">
        <v>8</v>
      </c>
      <c r="AF63" s="4">
        <v>1</v>
      </c>
      <c r="AG63" s="4">
        <v>1</v>
      </c>
      <c r="AH63" s="4">
        <v>3</v>
      </c>
      <c r="AI63" s="4">
        <v>3</v>
      </c>
      <c r="AJ63" s="4">
        <v>5</v>
      </c>
      <c r="AK63" s="4">
        <v>5</v>
      </c>
      <c r="AL63" s="4">
        <v>1</v>
      </c>
      <c r="AM63" s="4">
        <v>1</v>
      </c>
      <c r="AN63" s="4">
        <v>0</v>
      </c>
      <c r="AO63" s="4">
        <v>0</v>
      </c>
      <c r="AP63" s="3" t="s">
        <v>58</v>
      </c>
      <c r="AQ63" s="3" t="s">
        <v>58</v>
      </c>
      <c r="AS63" s="6" t="str">
        <f>HYPERLINK("https://creighton-primo.hosted.exlibrisgroup.com/primo-explore/search?tab=default_tab&amp;search_scope=EVERYTHING&amp;vid=01CRU&amp;lang=en_US&amp;offset=0&amp;query=any,contains,991001796269702656","Catalog Record")</f>
        <v>Catalog Record</v>
      </c>
      <c r="AT63" s="6" t="str">
        <f>HYPERLINK("http://www.worldcat.org/oclc/22597421","WorldCat Record")</f>
        <v>WorldCat Record</v>
      </c>
      <c r="AU63" s="3" t="s">
        <v>919</v>
      </c>
      <c r="AV63" s="3" t="s">
        <v>920</v>
      </c>
      <c r="AW63" s="3" t="s">
        <v>921</v>
      </c>
      <c r="AX63" s="3" t="s">
        <v>921</v>
      </c>
      <c r="AY63" s="3" t="s">
        <v>922</v>
      </c>
      <c r="AZ63" s="3" t="s">
        <v>73</v>
      </c>
      <c r="BB63" s="3" t="s">
        <v>923</v>
      </c>
      <c r="BC63" s="3" t="s">
        <v>924</v>
      </c>
      <c r="BD63" s="3" t="s">
        <v>925</v>
      </c>
    </row>
    <row r="64" spans="1:56" ht="45" customHeight="1" x14ac:dyDescent="0.25">
      <c r="A64" s="8" t="s">
        <v>58</v>
      </c>
      <c r="B64" s="2" t="s">
        <v>926</v>
      </c>
      <c r="C64" s="2" t="s">
        <v>927</v>
      </c>
      <c r="D64" s="2" t="s">
        <v>928</v>
      </c>
      <c r="F64" s="3" t="s">
        <v>58</v>
      </c>
      <c r="G64" s="3" t="s">
        <v>59</v>
      </c>
      <c r="H64" s="3" t="s">
        <v>68</v>
      </c>
      <c r="I64" s="3" t="s">
        <v>58</v>
      </c>
      <c r="J64" s="3" t="s">
        <v>60</v>
      </c>
      <c r="L64" s="2" t="s">
        <v>929</v>
      </c>
      <c r="M64" s="3" t="s">
        <v>494</v>
      </c>
      <c r="O64" s="3" t="s">
        <v>64</v>
      </c>
      <c r="P64" s="3" t="s">
        <v>177</v>
      </c>
      <c r="R64" s="3" t="s">
        <v>66</v>
      </c>
      <c r="S64" s="4">
        <v>8</v>
      </c>
      <c r="T64" s="4">
        <v>8</v>
      </c>
      <c r="U64" s="5" t="s">
        <v>930</v>
      </c>
      <c r="V64" s="5" t="s">
        <v>930</v>
      </c>
      <c r="W64" s="5" t="s">
        <v>931</v>
      </c>
      <c r="X64" s="5" t="s">
        <v>931</v>
      </c>
      <c r="Y64" s="4">
        <v>333</v>
      </c>
      <c r="Z64" s="4">
        <v>289</v>
      </c>
      <c r="AA64" s="4">
        <v>292</v>
      </c>
      <c r="AB64" s="4">
        <v>4</v>
      </c>
      <c r="AC64" s="4">
        <v>4</v>
      </c>
      <c r="AD64" s="4">
        <v>9</v>
      </c>
      <c r="AE64" s="4">
        <v>9</v>
      </c>
      <c r="AF64" s="4">
        <v>2</v>
      </c>
      <c r="AG64" s="4">
        <v>2</v>
      </c>
      <c r="AH64" s="4">
        <v>3</v>
      </c>
      <c r="AI64" s="4">
        <v>3</v>
      </c>
      <c r="AJ64" s="4">
        <v>5</v>
      </c>
      <c r="AK64" s="4">
        <v>5</v>
      </c>
      <c r="AL64" s="4">
        <v>1</v>
      </c>
      <c r="AM64" s="4">
        <v>1</v>
      </c>
      <c r="AN64" s="4">
        <v>0</v>
      </c>
      <c r="AO64" s="4">
        <v>0</v>
      </c>
      <c r="AP64" s="3" t="s">
        <v>58</v>
      </c>
      <c r="AQ64" s="3" t="s">
        <v>68</v>
      </c>
      <c r="AR64" s="6" t="str">
        <f>HYPERLINK("http://catalog.hathitrust.org/Record/000462462","HathiTrust Record")</f>
        <v>HathiTrust Record</v>
      </c>
      <c r="AS64" s="6" t="str">
        <f>HYPERLINK("https://creighton-primo.hosted.exlibrisgroup.com/primo-explore/search?tab=default_tab&amp;search_scope=EVERYTHING&amp;vid=01CRU&amp;lang=en_US&amp;offset=0&amp;query=any,contains,991000547239702656","Catalog Record")</f>
        <v>Catalog Record</v>
      </c>
      <c r="AT64" s="6" t="str">
        <f>HYPERLINK("http://www.worldcat.org/oclc/11519043","WorldCat Record")</f>
        <v>WorldCat Record</v>
      </c>
      <c r="AU64" s="3" t="s">
        <v>932</v>
      </c>
      <c r="AV64" s="3" t="s">
        <v>933</v>
      </c>
      <c r="AW64" s="3" t="s">
        <v>934</v>
      </c>
      <c r="AX64" s="3" t="s">
        <v>934</v>
      </c>
      <c r="AY64" s="3" t="s">
        <v>935</v>
      </c>
      <c r="AZ64" s="3" t="s">
        <v>73</v>
      </c>
      <c r="BB64" s="3" t="s">
        <v>936</v>
      </c>
      <c r="BC64" s="3" t="s">
        <v>937</v>
      </c>
      <c r="BD64" s="3" t="s">
        <v>938</v>
      </c>
    </row>
    <row r="65" spans="1:56" ht="45" customHeight="1" x14ac:dyDescent="0.25">
      <c r="A65" s="8" t="s">
        <v>58</v>
      </c>
      <c r="B65" s="2" t="s">
        <v>939</v>
      </c>
      <c r="C65" s="2" t="s">
        <v>940</v>
      </c>
      <c r="D65" s="2" t="s">
        <v>941</v>
      </c>
      <c r="F65" s="3" t="s">
        <v>58</v>
      </c>
      <c r="G65" s="3" t="s">
        <v>59</v>
      </c>
      <c r="H65" s="3" t="s">
        <v>58</v>
      </c>
      <c r="I65" s="3" t="s">
        <v>58</v>
      </c>
      <c r="J65" s="3" t="s">
        <v>60</v>
      </c>
      <c r="K65" s="2" t="s">
        <v>942</v>
      </c>
      <c r="L65" s="2" t="s">
        <v>943</v>
      </c>
      <c r="M65" s="3" t="s">
        <v>681</v>
      </c>
      <c r="N65" s="2" t="s">
        <v>63</v>
      </c>
      <c r="O65" s="3" t="s">
        <v>64</v>
      </c>
      <c r="P65" s="3" t="s">
        <v>422</v>
      </c>
      <c r="R65" s="3" t="s">
        <v>66</v>
      </c>
      <c r="S65" s="4">
        <v>9</v>
      </c>
      <c r="T65" s="4">
        <v>9</v>
      </c>
      <c r="U65" s="5" t="s">
        <v>944</v>
      </c>
      <c r="V65" s="5" t="s">
        <v>944</v>
      </c>
      <c r="W65" s="5" t="s">
        <v>622</v>
      </c>
      <c r="X65" s="5" t="s">
        <v>622</v>
      </c>
      <c r="Y65" s="4">
        <v>469</v>
      </c>
      <c r="Z65" s="4">
        <v>433</v>
      </c>
      <c r="AA65" s="4">
        <v>438</v>
      </c>
      <c r="AB65" s="4">
        <v>3</v>
      </c>
      <c r="AC65" s="4">
        <v>3</v>
      </c>
      <c r="AD65" s="4">
        <v>14</v>
      </c>
      <c r="AE65" s="4">
        <v>14</v>
      </c>
      <c r="AF65" s="4">
        <v>4</v>
      </c>
      <c r="AG65" s="4">
        <v>4</v>
      </c>
      <c r="AH65" s="4">
        <v>3</v>
      </c>
      <c r="AI65" s="4">
        <v>3</v>
      </c>
      <c r="AJ65" s="4">
        <v>10</v>
      </c>
      <c r="AK65" s="4">
        <v>10</v>
      </c>
      <c r="AL65" s="4">
        <v>1</v>
      </c>
      <c r="AM65" s="4">
        <v>1</v>
      </c>
      <c r="AN65" s="4">
        <v>0</v>
      </c>
      <c r="AO65" s="4">
        <v>0</v>
      </c>
      <c r="AP65" s="3" t="s">
        <v>58</v>
      </c>
      <c r="AQ65" s="3" t="s">
        <v>58</v>
      </c>
      <c r="AS65" s="6" t="str">
        <f>HYPERLINK("https://creighton-primo.hosted.exlibrisgroup.com/primo-explore/search?tab=default_tab&amp;search_scope=EVERYTHING&amp;vid=01CRU&amp;lang=en_US&amp;offset=0&amp;query=any,contains,991000112619702656","Catalog Record")</f>
        <v>Catalog Record</v>
      </c>
      <c r="AT65" s="6" t="str">
        <f>HYPERLINK("http://www.worldcat.org/oclc/9017650","WorldCat Record")</f>
        <v>WorldCat Record</v>
      </c>
      <c r="AU65" s="3" t="s">
        <v>945</v>
      </c>
      <c r="AV65" s="3" t="s">
        <v>946</v>
      </c>
      <c r="AW65" s="3" t="s">
        <v>947</v>
      </c>
      <c r="AX65" s="3" t="s">
        <v>947</v>
      </c>
      <c r="AY65" s="3" t="s">
        <v>948</v>
      </c>
      <c r="AZ65" s="3" t="s">
        <v>73</v>
      </c>
      <c r="BB65" s="3" t="s">
        <v>949</v>
      </c>
      <c r="BC65" s="3" t="s">
        <v>950</v>
      </c>
      <c r="BD65" s="3" t="s">
        <v>951</v>
      </c>
    </row>
    <row r="66" spans="1:56" ht="45" customHeight="1" x14ac:dyDescent="0.25">
      <c r="A66" s="8" t="s">
        <v>58</v>
      </c>
      <c r="B66" s="2" t="s">
        <v>952</v>
      </c>
      <c r="C66" s="2" t="s">
        <v>953</v>
      </c>
      <c r="D66" s="2" t="s">
        <v>954</v>
      </c>
      <c r="F66" s="3" t="s">
        <v>58</v>
      </c>
      <c r="G66" s="3" t="s">
        <v>59</v>
      </c>
      <c r="H66" s="3" t="s">
        <v>68</v>
      </c>
      <c r="I66" s="3" t="s">
        <v>58</v>
      </c>
      <c r="J66" s="3" t="s">
        <v>60</v>
      </c>
      <c r="L66" s="2" t="s">
        <v>955</v>
      </c>
      <c r="M66" s="3" t="s">
        <v>407</v>
      </c>
      <c r="O66" s="3" t="s">
        <v>64</v>
      </c>
      <c r="P66" s="3" t="s">
        <v>177</v>
      </c>
      <c r="R66" s="3" t="s">
        <v>66</v>
      </c>
      <c r="S66" s="4">
        <v>2</v>
      </c>
      <c r="T66" s="4">
        <v>17</v>
      </c>
      <c r="U66" s="5" t="s">
        <v>956</v>
      </c>
      <c r="V66" s="5" t="s">
        <v>957</v>
      </c>
      <c r="W66" s="5" t="s">
        <v>958</v>
      </c>
      <c r="X66" s="5" t="s">
        <v>958</v>
      </c>
      <c r="Y66" s="4">
        <v>314</v>
      </c>
      <c r="Z66" s="4">
        <v>242</v>
      </c>
      <c r="AA66" s="4">
        <v>249</v>
      </c>
      <c r="AB66" s="4">
        <v>3</v>
      </c>
      <c r="AC66" s="4">
        <v>3</v>
      </c>
      <c r="AD66" s="4">
        <v>10</v>
      </c>
      <c r="AE66" s="4">
        <v>10</v>
      </c>
      <c r="AF66" s="4">
        <v>3</v>
      </c>
      <c r="AG66" s="4">
        <v>3</v>
      </c>
      <c r="AH66" s="4">
        <v>2</v>
      </c>
      <c r="AI66" s="4">
        <v>2</v>
      </c>
      <c r="AJ66" s="4">
        <v>6</v>
      </c>
      <c r="AK66" s="4">
        <v>6</v>
      </c>
      <c r="AL66" s="4">
        <v>1</v>
      </c>
      <c r="AM66" s="4">
        <v>1</v>
      </c>
      <c r="AN66" s="4">
        <v>0</v>
      </c>
      <c r="AO66" s="4">
        <v>0</v>
      </c>
      <c r="AP66" s="3" t="s">
        <v>58</v>
      </c>
      <c r="AQ66" s="3" t="s">
        <v>68</v>
      </c>
      <c r="AR66" s="6" t="str">
        <f>HYPERLINK("http://catalog.hathitrust.org/Record/000706777","HathiTrust Record")</f>
        <v>HathiTrust Record</v>
      </c>
      <c r="AS66" s="6" t="str">
        <f>HYPERLINK("https://creighton-primo.hosted.exlibrisgroup.com/primo-explore/search?tab=default_tab&amp;search_scope=EVERYTHING&amp;vid=01CRU&amp;lang=en_US&amp;offset=0&amp;query=any,contains,991001776839702656","Catalog Record")</f>
        <v>Catalog Record</v>
      </c>
      <c r="AT66" s="6" t="str">
        <f>HYPERLINK("http://www.worldcat.org/oclc/2225056","WorldCat Record")</f>
        <v>WorldCat Record</v>
      </c>
      <c r="AU66" s="3" t="s">
        <v>959</v>
      </c>
      <c r="AV66" s="3" t="s">
        <v>960</v>
      </c>
      <c r="AW66" s="3" t="s">
        <v>961</v>
      </c>
      <c r="AX66" s="3" t="s">
        <v>961</v>
      </c>
      <c r="AY66" s="3" t="s">
        <v>962</v>
      </c>
      <c r="AZ66" s="3" t="s">
        <v>73</v>
      </c>
      <c r="BB66" s="3" t="s">
        <v>963</v>
      </c>
      <c r="BC66" s="3" t="s">
        <v>964</v>
      </c>
      <c r="BD66" s="3" t="s">
        <v>965</v>
      </c>
    </row>
    <row r="67" spans="1:56" ht="45" customHeight="1" x14ac:dyDescent="0.25">
      <c r="A67" s="8" t="s">
        <v>58</v>
      </c>
      <c r="B67" s="2" t="s">
        <v>966</v>
      </c>
      <c r="C67" s="2" t="s">
        <v>967</v>
      </c>
      <c r="D67" s="2" t="s">
        <v>968</v>
      </c>
      <c r="F67" s="3" t="s">
        <v>58</v>
      </c>
      <c r="G67" s="3" t="s">
        <v>59</v>
      </c>
      <c r="H67" s="3" t="s">
        <v>58</v>
      </c>
      <c r="I67" s="3" t="s">
        <v>58</v>
      </c>
      <c r="J67" s="3" t="s">
        <v>60</v>
      </c>
      <c r="L67" s="2" t="s">
        <v>969</v>
      </c>
      <c r="M67" s="3" t="s">
        <v>146</v>
      </c>
      <c r="O67" s="3" t="s">
        <v>64</v>
      </c>
      <c r="P67" s="3" t="s">
        <v>65</v>
      </c>
      <c r="R67" s="3" t="s">
        <v>66</v>
      </c>
      <c r="S67" s="4">
        <v>3</v>
      </c>
      <c r="T67" s="4">
        <v>3</v>
      </c>
      <c r="U67" s="5" t="s">
        <v>970</v>
      </c>
      <c r="V67" s="5" t="s">
        <v>970</v>
      </c>
      <c r="W67" s="5" t="s">
        <v>971</v>
      </c>
      <c r="X67" s="5" t="s">
        <v>971</v>
      </c>
      <c r="Y67" s="4">
        <v>124</v>
      </c>
      <c r="Z67" s="4">
        <v>94</v>
      </c>
      <c r="AA67" s="4">
        <v>94</v>
      </c>
      <c r="AB67" s="4">
        <v>1</v>
      </c>
      <c r="AC67" s="4">
        <v>1</v>
      </c>
      <c r="AD67" s="4">
        <v>1</v>
      </c>
      <c r="AE67" s="4">
        <v>1</v>
      </c>
      <c r="AF67" s="4">
        <v>0</v>
      </c>
      <c r="AG67" s="4">
        <v>0</v>
      </c>
      <c r="AH67" s="4">
        <v>0</v>
      </c>
      <c r="AI67" s="4">
        <v>0</v>
      </c>
      <c r="AJ67" s="4">
        <v>1</v>
      </c>
      <c r="AK67" s="4">
        <v>1</v>
      </c>
      <c r="AL67" s="4">
        <v>0</v>
      </c>
      <c r="AM67" s="4">
        <v>0</v>
      </c>
      <c r="AN67" s="4">
        <v>0</v>
      </c>
      <c r="AO67" s="4">
        <v>0</v>
      </c>
      <c r="AP67" s="3" t="s">
        <v>58</v>
      </c>
      <c r="AQ67" s="3" t="s">
        <v>58</v>
      </c>
      <c r="AS67" s="6" t="str">
        <f>HYPERLINK("https://creighton-primo.hosted.exlibrisgroup.com/primo-explore/search?tab=default_tab&amp;search_scope=EVERYTHING&amp;vid=01CRU&amp;lang=en_US&amp;offset=0&amp;query=any,contains,991002605499702656","Catalog Record")</f>
        <v>Catalog Record</v>
      </c>
      <c r="AT67" s="6" t="str">
        <f>HYPERLINK("http://www.worldcat.org/oclc/34121056","WorldCat Record")</f>
        <v>WorldCat Record</v>
      </c>
      <c r="AU67" s="3" t="s">
        <v>972</v>
      </c>
      <c r="AV67" s="3" t="s">
        <v>973</v>
      </c>
      <c r="AW67" s="3" t="s">
        <v>974</v>
      </c>
      <c r="AX67" s="3" t="s">
        <v>974</v>
      </c>
      <c r="AY67" s="3" t="s">
        <v>975</v>
      </c>
      <c r="AZ67" s="3" t="s">
        <v>73</v>
      </c>
      <c r="BB67" s="3" t="s">
        <v>976</v>
      </c>
      <c r="BC67" s="3" t="s">
        <v>977</v>
      </c>
      <c r="BD67" s="3" t="s">
        <v>978</v>
      </c>
    </row>
    <row r="68" spans="1:56" ht="45" customHeight="1" x14ac:dyDescent="0.25">
      <c r="A68" s="8" t="s">
        <v>58</v>
      </c>
      <c r="B68" s="2" t="s">
        <v>979</v>
      </c>
      <c r="C68" s="2" t="s">
        <v>980</v>
      </c>
      <c r="D68" s="2" t="s">
        <v>981</v>
      </c>
      <c r="F68" s="3" t="s">
        <v>58</v>
      </c>
      <c r="G68" s="3" t="s">
        <v>59</v>
      </c>
      <c r="H68" s="3" t="s">
        <v>58</v>
      </c>
      <c r="I68" s="3" t="s">
        <v>58</v>
      </c>
      <c r="J68" s="3" t="s">
        <v>60</v>
      </c>
      <c r="K68" s="2" t="s">
        <v>982</v>
      </c>
      <c r="L68" s="2" t="s">
        <v>983</v>
      </c>
      <c r="M68" s="3" t="s">
        <v>129</v>
      </c>
      <c r="O68" s="3" t="s">
        <v>64</v>
      </c>
      <c r="P68" s="3" t="s">
        <v>984</v>
      </c>
      <c r="R68" s="3" t="s">
        <v>66</v>
      </c>
      <c r="S68" s="4">
        <v>5</v>
      </c>
      <c r="T68" s="4">
        <v>5</v>
      </c>
      <c r="U68" s="5" t="s">
        <v>985</v>
      </c>
      <c r="V68" s="5" t="s">
        <v>985</v>
      </c>
      <c r="W68" s="5" t="s">
        <v>236</v>
      </c>
      <c r="X68" s="5" t="s">
        <v>236</v>
      </c>
      <c r="Y68" s="4">
        <v>635</v>
      </c>
      <c r="Z68" s="4">
        <v>494</v>
      </c>
      <c r="AA68" s="4">
        <v>501</v>
      </c>
      <c r="AB68" s="4">
        <v>5</v>
      </c>
      <c r="AC68" s="4">
        <v>5</v>
      </c>
      <c r="AD68" s="4">
        <v>15</v>
      </c>
      <c r="AE68" s="4">
        <v>15</v>
      </c>
      <c r="AF68" s="4">
        <v>3</v>
      </c>
      <c r="AG68" s="4">
        <v>3</v>
      </c>
      <c r="AH68" s="4">
        <v>5</v>
      </c>
      <c r="AI68" s="4">
        <v>5</v>
      </c>
      <c r="AJ68" s="4">
        <v>7</v>
      </c>
      <c r="AK68" s="4">
        <v>7</v>
      </c>
      <c r="AL68" s="4">
        <v>2</v>
      </c>
      <c r="AM68" s="4">
        <v>2</v>
      </c>
      <c r="AN68" s="4">
        <v>0</v>
      </c>
      <c r="AO68" s="4">
        <v>0</v>
      </c>
      <c r="AP68" s="3" t="s">
        <v>58</v>
      </c>
      <c r="AQ68" s="3" t="s">
        <v>68</v>
      </c>
      <c r="AR68" s="6" t="str">
        <f>HYPERLINK("http://catalog.hathitrust.org/Record/000030415","HathiTrust Record")</f>
        <v>HathiTrust Record</v>
      </c>
      <c r="AS68" s="6" t="str">
        <f>HYPERLINK("https://creighton-primo.hosted.exlibrisgroup.com/primo-explore/search?tab=default_tab&amp;search_scope=EVERYTHING&amp;vid=01CRU&amp;lang=en_US&amp;offset=0&amp;query=any,contains,991005224769702656","Catalog Record")</f>
        <v>Catalog Record</v>
      </c>
      <c r="AT68" s="6" t="str">
        <f>HYPERLINK("http://www.worldcat.org/oclc/2074284","WorldCat Record")</f>
        <v>WorldCat Record</v>
      </c>
      <c r="AU68" s="3" t="s">
        <v>986</v>
      </c>
      <c r="AV68" s="3" t="s">
        <v>987</v>
      </c>
      <c r="AW68" s="3" t="s">
        <v>988</v>
      </c>
      <c r="AX68" s="3" t="s">
        <v>988</v>
      </c>
      <c r="AY68" s="3" t="s">
        <v>989</v>
      </c>
      <c r="AZ68" s="3" t="s">
        <v>73</v>
      </c>
      <c r="BB68" s="3" t="s">
        <v>990</v>
      </c>
      <c r="BC68" s="3" t="s">
        <v>991</v>
      </c>
      <c r="BD68" s="3" t="s">
        <v>992</v>
      </c>
    </row>
    <row r="69" spans="1:56" ht="45" customHeight="1" x14ac:dyDescent="0.25">
      <c r="A69" s="8" t="s">
        <v>58</v>
      </c>
      <c r="B69" s="2" t="s">
        <v>993</v>
      </c>
      <c r="C69" s="2" t="s">
        <v>994</v>
      </c>
      <c r="D69" s="2" t="s">
        <v>995</v>
      </c>
      <c r="F69" s="3" t="s">
        <v>58</v>
      </c>
      <c r="G69" s="3" t="s">
        <v>59</v>
      </c>
      <c r="H69" s="3" t="s">
        <v>68</v>
      </c>
      <c r="I69" s="3" t="s">
        <v>58</v>
      </c>
      <c r="J69" s="3" t="s">
        <v>60</v>
      </c>
      <c r="L69" s="2" t="s">
        <v>996</v>
      </c>
      <c r="M69" s="3" t="s">
        <v>450</v>
      </c>
      <c r="O69" s="3" t="s">
        <v>64</v>
      </c>
      <c r="P69" s="3" t="s">
        <v>997</v>
      </c>
      <c r="Q69" s="2" t="s">
        <v>998</v>
      </c>
      <c r="R69" s="3" t="s">
        <v>66</v>
      </c>
      <c r="S69" s="4">
        <v>10</v>
      </c>
      <c r="T69" s="4">
        <v>10</v>
      </c>
      <c r="U69" s="5" t="s">
        <v>999</v>
      </c>
      <c r="V69" s="5" t="s">
        <v>999</v>
      </c>
      <c r="W69" s="5" t="s">
        <v>1000</v>
      </c>
      <c r="X69" s="5" t="s">
        <v>1000</v>
      </c>
      <c r="Y69" s="4">
        <v>527</v>
      </c>
      <c r="Z69" s="4">
        <v>388</v>
      </c>
      <c r="AA69" s="4">
        <v>388</v>
      </c>
      <c r="AB69" s="4">
        <v>5</v>
      </c>
      <c r="AC69" s="4">
        <v>5</v>
      </c>
      <c r="AD69" s="4">
        <v>36</v>
      </c>
      <c r="AE69" s="4">
        <v>36</v>
      </c>
      <c r="AF69" s="4">
        <v>9</v>
      </c>
      <c r="AG69" s="4">
        <v>9</v>
      </c>
      <c r="AH69" s="4">
        <v>7</v>
      </c>
      <c r="AI69" s="4">
        <v>7</v>
      </c>
      <c r="AJ69" s="4">
        <v>17</v>
      </c>
      <c r="AK69" s="4">
        <v>17</v>
      </c>
      <c r="AL69" s="4">
        <v>2</v>
      </c>
      <c r="AM69" s="4">
        <v>2</v>
      </c>
      <c r="AN69" s="4">
        <v>9</v>
      </c>
      <c r="AO69" s="4">
        <v>9</v>
      </c>
      <c r="AP69" s="3" t="s">
        <v>58</v>
      </c>
      <c r="AQ69" s="3" t="s">
        <v>58</v>
      </c>
      <c r="AS69" s="6" t="str">
        <f>HYPERLINK("https://creighton-primo.hosted.exlibrisgroup.com/primo-explore/search?tab=default_tab&amp;search_scope=EVERYTHING&amp;vid=01CRU&amp;lang=en_US&amp;offset=0&amp;query=any,contains,991000988809702656","Catalog Record")</f>
        <v>Catalog Record</v>
      </c>
      <c r="AT69" s="6" t="str">
        <f>HYPERLINK("http://www.worldcat.org/oclc/15084710","WorldCat Record")</f>
        <v>WorldCat Record</v>
      </c>
      <c r="AU69" s="3" t="s">
        <v>1001</v>
      </c>
      <c r="AV69" s="3" t="s">
        <v>1002</v>
      </c>
      <c r="AW69" s="3" t="s">
        <v>1003</v>
      </c>
      <c r="AX69" s="3" t="s">
        <v>1003</v>
      </c>
      <c r="AY69" s="3" t="s">
        <v>1004</v>
      </c>
      <c r="AZ69" s="3" t="s">
        <v>73</v>
      </c>
      <c r="BB69" s="3" t="s">
        <v>1005</v>
      </c>
      <c r="BC69" s="3" t="s">
        <v>1006</v>
      </c>
      <c r="BD69" s="3" t="s">
        <v>1007</v>
      </c>
    </row>
    <row r="70" spans="1:56" ht="45" customHeight="1" x14ac:dyDescent="0.25">
      <c r="A70" s="8" t="s">
        <v>58</v>
      </c>
      <c r="B70" s="2" t="s">
        <v>1008</v>
      </c>
      <c r="C70" s="2" t="s">
        <v>1009</v>
      </c>
      <c r="D70" s="2" t="s">
        <v>1010</v>
      </c>
      <c r="F70" s="3" t="s">
        <v>58</v>
      </c>
      <c r="G70" s="3" t="s">
        <v>59</v>
      </c>
      <c r="H70" s="3" t="s">
        <v>58</v>
      </c>
      <c r="I70" s="3" t="s">
        <v>58</v>
      </c>
      <c r="J70" s="3" t="s">
        <v>60</v>
      </c>
      <c r="K70" s="2" t="s">
        <v>1011</v>
      </c>
      <c r="L70" s="2" t="s">
        <v>1012</v>
      </c>
      <c r="M70" s="3" t="s">
        <v>1013</v>
      </c>
      <c r="O70" s="3" t="s">
        <v>64</v>
      </c>
      <c r="P70" s="3" t="s">
        <v>177</v>
      </c>
      <c r="R70" s="3" t="s">
        <v>66</v>
      </c>
      <c r="S70" s="4">
        <v>6</v>
      </c>
      <c r="T70" s="4">
        <v>6</v>
      </c>
      <c r="U70" s="5" t="s">
        <v>1014</v>
      </c>
      <c r="V70" s="5" t="s">
        <v>1014</v>
      </c>
      <c r="W70" s="5" t="s">
        <v>958</v>
      </c>
      <c r="X70" s="5" t="s">
        <v>958</v>
      </c>
      <c r="Y70" s="4">
        <v>442</v>
      </c>
      <c r="Z70" s="4">
        <v>370</v>
      </c>
      <c r="AA70" s="4">
        <v>396</v>
      </c>
      <c r="AB70" s="4">
        <v>3</v>
      </c>
      <c r="AC70" s="4">
        <v>3</v>
      </c>
      <c r="AD70" s="4">
        <v>21</v>
      </c>
      <c r="AE70" s="4">
        <v>22</v>
      </c>
      <c r="AF70" s="4">
        <v>5</v>
      </c>
      <c r="AG70" s="4">
        <v>6</v>
      </c>
      <c r="AH70" s="4">
        <v>6</v>
      </c>
      <c r="AI70" s="4">
        <v>6</v>
      </c>
      <c r="AJ70" s="4">
        <v>12</v>
      </c>
      <c r="AK70" s="4">
        <v>12</v>
      </c>
      <c r="AL70" s="4">
        <v>1</v>
      </c>
      <c r="AM70" s="4">
        <v>1</v>
      </c>
      <c r="AN70" s="4">
        <v>2</v>
      </c>
      <c r="AO70" s="4">
        <v>2</v>
      </c>
      <c r="AP70" s="3" t="s">
        <v>58</v>
      </c>
      <c r="AQ70" s="3" t="s">
        <v>68</v>
      </c>
      <c r="AR70" s="6" t="str">
        <f>HYPERLINK("http://catalog.hathitrust.org/Record/000438305","HathiTrust Record")</f>
        <v>HathiTrust Record</v>
      </c>
      <c r="AS70" s="6" t="str">
        <f>HYPERLINK("https://creighton-primo.hosted.exlibrisgroup.com/primo-explore/search?tab=default_tab&amp;search_scope=EVERYTHING&amp;vid=01CRU&amp;lang=en_US&amp;offset=0&amp;query=any,contains,991000762709702656","Catalog Record")</f>
        <v>Catalog Record</v>
      </c>
      <c r="AT70" s="6" t="str">
        <f>HYPERLINK("http://www.worldcat.org/oclc/12974899","WorldCat Record")</f>
        <v>WorldCat Record</v>
      </c>
      <c r="AU70" s="3" t="s">
        <v>1015</v>
      </c>
      <c r="AV70" s="3" t="s">
        <v>1016</v>
      </c>
      <c r="AW70" s="3" t="s">
        <v>1017</v>
      </c>
      <c r="AX70" s="3" t="s">
        <v>1017</v>
      </c>
      <c r="AY70" s="3" t="s">
        <v>1018</v>
      </c>
      <c r="AZ70" s="3" t="s">
        <v>73</v>
      </c>
      <c r="BB70" s="3" t="s">
        <v>1019</v>
      </c>
      <c r="BC70" s="3" t="s">
        <v>1020</v>
      </c>
      <c r="BD70" s="3" t="s">
        <v>1021</v>
      </c>
    </row>
    <row r="71" spans="1:56" ht="45" customHeight="1" x14ac:dyDescent="0.25">
      <c r="A71" s="8" t="s">
        <v>58</v>
      </c>
      <c r="B71" s="2" t="s">
        <v>1022</v>
      </c>
      <c r="C71" s="2" t="s">
        <v>1023</v>
      </c>
      <c r="D71" s="2" t="s">
        <v>1024</v>
      </c>
      <c r="F71" s="3" t="s">
        <v>58</v>
      </c>
      <c r="G71" s="3" t="s">
        <v>59</v>
      </c>
      <c r="H71" s="3" t="s">
        <v>58</v>
      </c>
      <c r="I71" s="3" t="s">
        <v>58</v>
      </c>
      <c r="J71" s="3" t="s">
        <v>60</v>
      </c>
      <c r="K71" s="2" t="s">
        <v>1025</v>
      </c>
      <c r="L71" s="2" t="s">
        <v>1026</v>
      </c>
      <c r="M71" s="3" t="s">
        <v>494</v>
      </c>
      <c r="N71" s="2" t="s">
        <v>63</v>
      </c>
      <c r="O71" s="3" t="s">
        <v>64</v>
      </c>
      <c r="P71" s="3" t="s">
        <v>177</v>
      </c>
      <c r="R71" s="3" t="s">
        <v>66</v>
      </c>
      <c r="S71" s="4">
        <v>13</v>
      </c>
      <c r="T71" s="4">
        <v>13</v>
      </c>
      <c r="U71" s="5" t="s">
        <v>1027</v>
      </c>
      <c r="V71" s="5" t="s">
        <v>1027</v>
      </c>
      <c r="W71" s="5" t="s">
        <v>1028</v>
      </c>
      <c r="X71" s="5" t="s">
        <v>1028</v>
      </c>
      <c r="Y71" s="4">
        <v>1143</v>
      </c>
      <c r="Z71" s="4">
        <v>1087</v>
      </c>
      <c r="AA71" s="4">
        <v>1099</v>
      </c>
      <c r="AB71" s="4">
        <v>7</v>
      </c>
      <c r="AC71" s="4">
        <v>7</v>
      </c>
      <c r="AD71" s="4">
        <v>31</v>
      </c>
      <c r="AE71" s="4">
        <v>32</v>
      </c>
      <c r="AF71" s="4">
        <v>7</v>
      </c>
      <c r="AG71" s="4">
        <v>8</v>
      </c>
      <c r="AH71" s="4">
        <v>4</v>
      </c>
      <c r="AI71" s="4">
        <v>4</v>
      </c>
      <c r="AJ71" s="4">
        <v>11</v>
      </c>
      <c r="AK71" s="4">
        <v>12</v>
      </c>
      <c r="AL71" s="4">
        <v>4</v>
      </c>
      <c r="AM71" s="4">
        <v>4</v>
      </c>
      <c r="AN71" s="4">
        <v>8</v>
      </c>
      <c r="AO71" s="4">
        <v>8</v>
      </c>
      <c r="AP71" s="3" t="s">
        <v>58</v>
      </c>
      <c r="AQ71" s="3" t="s">
        <v>58</v>
      </c>
      <c r="AS71" s="6" t="str">
        <f>HYPERLINK("https://creighton-primo.hosted.exlibrisgroup.com/primo-explore/search?tab=default_tab&amp;search_scope=EVERYTHING&amp;vid=01CRU&amp;lang=en_US&amp;offset=0&amp;query=any,contains,991000525119702656","Catalog Record")</f>
        <v>Catalog Record</v>
      </c>
      <c r="AT71" s="6" t="str">
        <f>HYPERLINK("http://www.worldcat.org/oclc/11370066","WorldCat Record")</f>
        <v>WorldCat Record</v>
      </c>
      <c r="AU71" s="3" t="s">
        <v>1029</v>
      </c>
      <c r="AV71" s="3" t="s">
        <v>1030</v>
      </c>
      <c r="AW71" s="3" t="s">
        <v>1031</v>
      </c>
      <c r="AX71" s="3" t="s">
        <v>1031</v>
      </c>
      <c r="AY71" s="3" t="s">
        <v>1032</v>
      </c>
      <c r="AZ71" s="3" t="s">
        <v>73</v>
      </c>
      <c r="BB71" s="3" t="s">
        <v>1033</v>
      </c>
      <c r="BC71" s="3" t="s">
        <v>1034</v>
      </c>
      <c r="BD71" s="3" t="s">
        <v>1035</v>
      </c>
    </row>
    <row r="72" spans="1:56" ht="45" customHeight="1" x14ac:dyDescent="0.25">
      <c r="A72" s="8" t="s">
        <v>58</v>
      </c>
      <c r="B72" s="2" t="s">
        <v>1036</v>
      </c>
      <c r="C72" s="2" t="s">
        <v>1037</v>
      </c>
      <c r="D72" s="2" t="s">
        <v>1038</v>
      </c>
      <c r="F72" s="3" t="s">
        <v>58</v>
      </c>
      <c r="G72" s="3" t="s">
        <v>59</v>
      </c>
      <c r="H72" s="3" t="s">
        <v>68</v>
      </c>
      <c r="I72" s="3" t="s">
        <v>58</v>
      </c>
      <c r="J72" s="3" t="s">
        <v>60</v>
      </c>
      <c r="K72" s="2" t="s">
        <v>1039</v>
      </c>
      <c r="L72" s="2" t="s">
        <v>1040</v>
      </c>
      <c r="M72" s="3" t="s">
        <v>1041</v>
      </c>
      <c r="O72" s="3" t="s">
        <v>64</v>
      </c>
      <c r="P72" s="3" t="s">
        <v>191</v>
      </c>
      <c r="R72" s="3" t="s">
        <v>66</v>
      </c>
      <c r="S72" s="4">
        <v>4</v>
      </c>
      <c r="T72" s="4">
        <v>9</v>
      </c>
      <c r="U72" s="5" t="s">
        <v>1027</v>
      </c>
      <c r="V72" s="5" t="s">
        <v>1042</v>
      </c>
      <c r="W72" s="5" t="s">
        <v>1043</v>
      </c>
      <c r="X72" s="5" t="s">
        <v>1044</v>
      </c>
      <c r="Y72" s="4">
        <v>100</v>
      </c>
      <c r="Z72" s="4">
        <v>79</v>
      </c>
      <c r="AA72" s="4">
        <v>79</v>
      </c>
      <c r="AB72" s="4">
        <v>3</v>
      </c>
      <c r="AC72" s="4">
        <v>3</v>
      </c>
      <c r="AD72" s="4">
        <v>7</v>
      </c>
      <c r="AE72" s="4">
        <v>7</v>
      </c>
      <c r="AF72" s="4">
        <v>1</v>
      </c>
      <c r="AG72" s="4">
        <v>1</v>
      </c>
      <c r="AH72" s="4">
        <v>1</v>
      </c>
      <c r="AI72" s="4">
        <v>1</v>
      </c>
      <c r="AJ72" s="4">
        <v>4</v>
      </c>
      <c r="AK72" s="4">
        <v>4</v>
      </c>
      <c r="AL72" s="4">
        <v>2</v>
      </c>
      <c r="AM72" s="4">
        <v>2</v>
      </c>
      <c r="AN72" s="4">
        <v>0</v>
      </c>
      <c r="AO72" s="4">
        <v>0</v>
      </c>
      <c r="AP72" s="3" t="s">
        <v>58</v>
      </c>
      <c r="AQ72" s="3" t="s">
        <v>58</v>
      </c>
      <c r="AS72" s="6" t="str">
        <f>HYPERLINK("https://creighton-primo.hosted.exlibrisgroup.com/primo-explore/search?tab=default_tab&amp;search_scope=EVERYTHING&amp;vid=01CRU&amp;lang=en_US&amp;offset=0&amp;query=any,contains,991001716319702656","Catalog Record")</f>
        <v>Catalog Record</v>
      </c>
      <c r="AT72" s="6" t="str">
        <f>HYPERLINK("http://www.worldcat.org/oclc/49679803","WorldCat Record")</f>
        <v>WorldCat Record</v>
      </c>
      <c r="AU72" s="3" t="s">
        <v>1045</v>
      </c>
      <c r="AV72" s="3" t="s">
        <v>1046</v>
      </c>
      <c r="AW72" s="3" t="s">
        <v>1047</v>
      </c>
      <c r="AX72" s="3" t="s">
        <v>1047</v>
      </c>
      <c r="AY72" s="3" t="s">
        <v>1048</v>
      </c>
      <c r="AZ72" s="3" t="s">
        <v>73</v>
      </c>
      <c r="BB72" s="3" t="s">
        <v>1049</v>
      </c>
      <c r="BC72" s="3" t="s">
        <v>1050</v>
      </c>
      <c r="BD72" s="3" t="s">
        <v>1051</v>
      </c>
    </row>
    <row r="73" spans="1:56" ht="45" customHeight="1" x14ac:dyDescent="0.25">
      <c r="A73" s="8" t="s">
        <v>58</v>
      </c>
      <c r="B73" s="2" t="s">
        <v>1052</v>
      </c>
      <c r="C73" s="2" t="s">
        <v>1053</v>
      </c>
      <c r="D73" s="2" t="s">
        <v>1054</v>
      </c>
      <c r="F73" s="3" t="s">
        <v>58</v>
      </c>
      <c r="G73" s="3" t="s">
        <v>59</v>
      </c>
      <c r="H73" s="3" t="s">
        <v>58</v>
      </c>
      <c r="I73" s="3" t="s">
        <v>58</v>
      </c>
      <c r="J73" s="3" t="s">
        <v>60</v>
      </c>
      <c r="K73" s="2" t="s">
        <v>1055</v>
      </c>
      <c r="L73" s="2" t="s">
        <v>1056</v>
      </c>
      <c r="M73" s="3" t="s">
        <v>580</v>
      </c>
      <c r="O73" s="3" t="s">
        <v>64</v>
      </c>
      <c r="P73" s="3" t="s">
        <v>177</v>
      </c>
      <c r="R73" s="3" t="s">
        <v>66</v>
      </c>
      <c r="S73" s="4">
        <v>14</v>
      </c>
      <c r="T73" s="4">
        <v>14</v>
      </c>
      <c r="U73" s="5" t="s">
        <v>1057</v>
      </c>
      <c r="V73" s="5" t="s">
        <v>1057</v>
      </c>
      <c r="W73" s="5" t="s">
        <v>1028</v>
      </c>
      <c r="X73" s="5" t="s">
        <v>1028</v>
      </c>
      <c r="Y73" s="4">
        <v>304</v>
      </c>
      <c r="Z73" s="4">
        <v>252</v>
      </c>
      <c r="AA73" s="4">
        <v>253</v>
      </c>
      <c r="AB73" s="4">
        <v>2</v>
      </c>
      <c r="AC73" s="4">
        <v>2</v>
      </c>
      <c r="AD73" s="4">
        <v>21</v>
      </c>
      <c r="AE73" s="4">
        <v>21</v>
      </c>
      <c r="AF73" s="4">
        <v>6</v>
      </c>
      <c r="AG73" s="4">
        <v>6</v>
      </c>
      <c r="AH73" s="4">
        <v>5</v>
      </c>
      <c r="AI73" s="4">
        <v>5</v>
      </c>
      <c r="AJ73" s="4">
        <v>16</v>
      </c>
      <c r="AK73" s="4">
        <v>16</v>
      </c>
      <c r="AL73" s="4">
        <v>0</v>
      </c>
      <c r="AM73" s="4">
        <v>0</v>
      </c>
      <c r="AN73" s="4">
        <v>1</v>
      </c>
      <c r="AO73" s="4">
        <v>1</v>
      </c>
      <c r="AP73" s="3" t="s">
        <v>58</v>
      </c>
      <c r="AQ73" s="3" t="s">
        <v>68</v>
      </c>
      <c r="AR73" s="6" t="str">
        <f>HYPERLINK("http://catalog.hathitrust.org/Record/101888896","HathiTrust Record")</f>
        <v>HathiTrust Record</v>
      </c>
      <c r="AS73" s="6" t="str">
        <f>HYPERLINK("https://creighton-primo.hosted.exlibrisgroup.com/primo-explore/search?tab=default_tab&amp;search_scope=EVERYTHING&amp;vid=01CRU&amp;lang=en_US&amp;offset=0&amp;query=any,contains,991001257069702656","Catalog Record")</f>
        <v>Catalog Record</v>
      </c>
      <c r="AT73" s="6" t="str">
        <f>HYPERLINK("http://www.worldcat.org/oclc/17732278","WorldCat Record")</f>
        <v>WorldCat Record</v>
      </c>
      <c r="AU73" s="3" t="s">
        <v>1058</v>
      </c>
      <c r="AV73" s="3" t="s">
        <v>1059</v>
      </c>
      <c r="AW73" s="3" t="s">
        <v>1060</v>
      </c>
      <c r="AX73" s="3" t="s">
        <v>1060</v>
      </c>
      <c r="AY73" s="3" t="s">
        <v>1061</v>
      </c>
      <c r="AZ73" s="3" t="s">
        <v>73</v>
      </c>
      <c r="BB73" s="3" t="s">
        <v>1062</v>
      </c>
      <c r="BC73" s="3" t="s">
        <v>1063</v>
      </c>
      <c r="BD73" s="3" t="s">
        <v>1064</v>
      </c>
    </row>
    <row r="74" spans="1:56" ht="45" customHeight="1" x14ac:dyDescent="0.25">
      <c r="A74" s="8" t="s">
        <v>58</v>
      </c>
      <c r="B74" s="2" t="s">
        <v>1065</v>
      </c>
      <c r="C74" s="2" t="s">
        <v>1066</v>
      </c>
      <c r="D74" s="2" t="s">
        <v>1067</v>
      </c>
      <c r="F74" s="3" t="s">
        <v>58</v>
      </c>
      <c r="G74" s="3" t="s">
        <v>59</v>
      </c>
      <c r="H74" s="3" t="s">
        <v>68</v>
      </c>
      <c r="I74" s="3" t="s">
        <v>58</v>
      </c>
      <c r="J74" s="3" t="s">
        <v>60</v>
      </c>
      <c r="K74" s="2" t="s">
        <v>1068</v>
      </c>
      <c r="L74" s="2" t="s">
        <v>1069</v>
      </c>
      <c r="M74" s="3" t="s">
        <v>378</v>
      </c>
      <c r="O74" s="3" t="s">
        <v>64</v>
      </c>
      <c r="P74" s="3" t="s">
        <v>177</v>
      </c>
      <c r="R74" s="3" t="s">
        <v>66</v>
      </c>
      <c r="S74" s="4">
        <v>11</v>
      </c>
      <c r="T74" s="4">
        <v>15</v>
      </c>
      <c r="U74" s="5" t="s">
        <v>1070</v>
      </c>
      <c r="V74" s="5" t="s">
        <v>1071</v>
      </c>
      <c r="W74" s="5" t="s">
        <v>1072</v>
      </c>
      <c r="X74" s="5" t="s">
        <v>1072</v>
      </c>
      <c r="Y74" s="4">
        <v>1010</v>
      </c>
      <c r="Z74" s="4">
        <v>885</v>
      </c>
      <c r="AA74" s="4">
        <v>893</v>
      </c>
      <c r="AB74" s="4">
        <v>10</v>
      </c>
      <c r="AC74" s="4">
        <v>10</v>
      </c>
      <c r="AD74" s="4">
        <v>50</v>
      </c>
      <c r="AE74" s="4">
        <v>50</v>
      </c>
      <c r="AF74" s="4">
        <v>12</v>
      </c>
      <c r="AG74" s="4">
        <v>12</v>
      </c>
      <c r="AH74" s="4">
        <v>5</v>
      </c>
      <c r="AI74" s="4">
        <v>5</v>
      </c>
      <c r="AJ74" s="4">
        <v>20</v>
      </c>
      <c r="AK74" s="4">
        <v>20</v>
      </c>
      <c r="AL74" s="4">
        <v>4</v>
      </c>
      <c r="AM74" s="4">
        <v>4</v>
      </c>
      <c r="AN74" s="4">
        <v>17</v>
      </c>
      <c r="AO74" s="4">
        <v>17</v>
      </c>
      <c r="AP74" s="3" t="s">
        <v>58</v>
      </c>
      <c r="AQ74" s="3" t="s">
        <v>68</v>
      </c>
      <c r="AR74" s="6" t="str">
        <f>HYPERLINK("http://catalog.hathitrust.org/Record/000281382","HathiTrust Record")</f>
        <v>HathiTrust Record</v>
      </c>
      <c r="AS74" s="6" t="str">
        <f>HYPERLINK("https://creighton-primo.hosted.exlibrisgroup.com/primo-explore/search?tab=default_tab&amp;search_scope=EVERYTHING&amp;vid=01CRU&amp;lang=en_US&amp;offset=0&amp;query=any,contains,991001626379702656","Catalog Record")</f>
        <v>Catalog Record</v>
      </c>
      <c r="AT74" s="6" t="str">
        <f>HYPERLINK("http://www.worldcat.org/oclc/9946318","WorldCat Record")</f>
        <v>WorldCat Record</v>
      </c>
      <c r="AU74" s="3" t="s">
        <v>1073</v>
      </c>
      <c r="AV74" s="3" t="s">
        <v>1074</v>
      </c>
      <c r="AW74" s="3" t="s">
        <v>1075</v>
      </c>
      <c r="AX74" s="3" t="s">
        <v>1075</v>
      </c>
      <c r="AY74" s="3" t="s">
        <v>1076</v>
      </c>
      <c r="AZ74" s="3" t="s">
        <v>73</v>
      </c>
      <c r="BB74" s="3" t="s">
        <v>1077</v>
      </c>
      <c r="BC74" s="3" t="s">
        <v>1078</v>
      </c>
      <c r="BD74" s="3" t="s">
        <v>1079</v>
      </c>
    </row>
    <row r="75" spans="1:56" ht="45" customHeight="1" x14ac:dyDescent="0.25">
      <c r="A75" s="8" t="s">
        <v>58</v>
      </c>
      <c r="B75" s="2" t="s">
        <v>1080</v>
      </c>
      <c r="C75" s="2" t="s">
        <v>1081</v>
      </c>
      <c r="D75" s="2" t="s">
        <v>1082</v>
      </c>
      <c r="F75" s="3" t="s">
        <v>58</v>
      </c>
      <c r="G75" s="3" t="s">
        <v>59</v>
      </c>
      <c r="H75" s="3" t="s">
        <v>58</v>
      </c>
      <c r="I75" s="3" t="s">
        <v>58</v>
      </c>
      <c r="J75" s="3" t="s">
        <v>60</v>
      </c>
      <c r="L75" s="2" t="s">
        <v>1083</v>
      </c>
      <c r="M75" s="3" t="s">
        <v>82</v>
      </c>
      <c r="O75" s="3" t="s">
        <v>64</v>
      </c>
      <c r="P75" s="3" t="s">
        <v>177</v>
      </c>
      <c r="R75" s="3" t="s">
        <v>66</v>
      </c>
      <c r="S75" s="4">
        <v>9</v>
      </c>
      <c r="T75" s="4">
        <v>9</v>
      </c>
      <c r="U75" s="5" t="s">
        <v>1084</v>
      </c>
      <c r="V75" s="5" t="s">
        <v>1084</v>
      </c>
      <c r="W75" s="5" t="s">
        <v>1085</v>
      </c>
      <c r="X75" s="5" t="s">
        <v>1085</v>
      </c>
      <c r="Y75" s="4">
        <v>228</v>
      </c>
      <c r="Z75" s="4">
        <v>177</v>
      </c>
      <c r="AA75" s="4">
        <v>182</v>
      </c>
      <c r="AB75" s="4">
        <v>2</v>
      </c>
      <c r="AC75" s="4">
        <v>2</v>
      </c>
      <c r="AD75" s="4">
        <v>5</v>
      </c>
      <c r="AE75" s="4">
        <v>5</v>
      </c>
      <c r="AF75" s="4">
        <v>1</v>
      </c>
      <c r="AG75" s="4">
        <v>1</v>
      </c>
      <c r="AH75" s="4">
        <v>0</v>
      </c>
      <c r="AI75" s="4">
        <v>0</v>
      </c>
      <c r="AJ75" s="4">
        <v>4</v>
      </c>
      <c r="AK75" s="4">
        <v>4</v>
      </c>
      <c r="AL75" s="4">
        <v>1</v>
      </c>
      <c r="AM75" s="4">
        <v>1</v>
      </c>
      <c r="AN75" s="4">
        <v>0</v>
      </c>
      <c r="AO75" s="4">
        <v>0</v>
      </c>
      <c r="AP75" s="3" t="s">
        <v>58</v>
      </c>
      <c r="AQ75" s="3" t="s">
        <v>68</v>
      </c>
      <c r="AR75" s="6" t="str">
        <f>HYPERLINK("http://catalog.hathitrust.org/Record/000173992","HathiTrust Record")</f>
        <v>HathiTrust Record</v>
      </c>
      <c r="AS75" s="6" t="str">
        <f>HYPERLINK("https://creighton-primo.hosted.exlibrisgroup.com/primo-explore/search?tab=default_tab&amp;search_scope=EVERYTHING&amp;vid=01CRU&amp;lang=en_US&amp;offset=0&amp;query=any,contains,991004544699702656","Catalog Record")</f>
        <v>Catalog Record</v>
      </c>
      <c r="AT75" s="6" t="str">
        <f>HYPERLINK("http://www.worldcat.org/oclc/3912783","WorldCat Record")</f>
        <v>WorldCat Record</v>
      </c>
      <c r="AU75" s="3" t="s">
        <v>1086</v>
      </c>
      <c r="AV75" s="3" t="s">
        <v>1087</v>
      </c>
      <c r="AW75" s="3" t="s">
        <v>1088</v>
      </c>
      <c r="AX75" s="3" t="s">
        <v>1088</v>
      </c>
      <c r="AY75" s="3" t="s">
        <v>1089</v>
      </c>
      <c r="AZ75" s="3" t="s">
        <v>73</v>
      </c>
      <c r="BB75" s="3" t="s">
        <v>1090</v>
      </c>
      <c r="BC75" s="3" t="s">
        <v>1091</v>
      </c>
      <c r="BD75" s="3" t="s">
        <v>1092</v>
      </c>
    </row>
    <row r="76" spans="1:56" ht="45" customHeight="1" x14ac:dyDescent="0.25">
      <c r="A76" s="8" t="s">
        <v>58</v>
      </c>
      <c r="B76" s="2" t="s">
        <v>1093</v>
      </c>
      <c r="C76" s="2" t="s">
        <v>1094</v>
      </c>
      <c r="D76" s="2" t="s">
        <v>1095</v>
      </c>
      <c r="F76" s="3" t="s">
        <v>58</v>
      </c>
      <c r="G76" s="3" t="s">
        <v>59</v>
      </c>
      <c r="H76" s="3" t="s">
        <v>68</v>
      </c>
      <c r="I76" s="3" t="s">
        <v>58</v>
      </c>
      <c r="J76" s="3" t="s">
        <v>60</v>
      </c>
      <c r="L76" s="2" t="s">
        <v>1096</v>
      </c>
      <c r="M76" s="3" t="s">
        <v>494</v>
      </c>
      <c r="O76" s="3" t="s">
        <v>64</v>
      </c>
      <c r="P76" s="3" t="s">
        <v>250</v>
      </c>
      <c r="Q76" s="2" t="s">
        <v>1097</v>
      </c>
      <c r="R76" s="3" t="s">
        <v>66</v>
      </c>
      <c r="S76" s="4">
        <v>10</v>
      </c>
      <c r="T76" s="4">
        <v>26</v>
      </c>
      <c r="U76" s="5" t="s">
        <v>1057</v>
      </c>
      <c r="V76" s="5" t="s">
        <v>1098</v>
      </c>
      <c r="W76" s="5" t="s">
        <v>1028</v>
      </c>
      <c r="X76" s="5" t="s">
        <v>1028</v>
      </c>
      <c r="Y76" s="4">
        <v>373</v>
      </c>
      <c r="Z76" s="4">
        <v>321</v>
      </c>
      <c r="AA76" s="4">
        <v>354</v>
      </c>
      <c r="AB76" s="4">
        <v>4</v>
      </c>
      <c r="AC76" s="4">
        <v>4</v>
      </c>
      <c r="AD76" s="4">
        <v>16</v>
      </c>
      <c r="AE76" s="4">
        <v>18</v>
      </c>
      <c r="AF76" s="4">
        <v>3</v>
      </c>
      <c r="AG76" s="4">
        <v>5</v>
      </c>
      <c r="AH76" s="4">
        <v>4</v>
      </c>
      <c r="AI76" s="4">
        <v>5</v>
      </c>
      <c r="AJ76" s="4">
        <v>8</v>
      </c>
      <c r="AK76" s="4">
        <v>9</v>
      </c>
      <c r="AL76" s="4">
        <v>1</v>
      </c>
      <c r="AM76" s="4">
        <v>1</v>
      </c>
      <c r="AN76" s="4">
        <v>2</v>
      </c>
      <c r="AO76" s="4">
        <v>2</v>
      </c>
      <c r="AP76" s="3" t="s">
        <v>58</v>
      </c>
      <c r="AQ76" s="3" t="s">
        <v>68</v>
      </c>
      <c r="AR76" s="6" t="str">
        <f>HYPERLINK("http://catalog.hathitrust.org/Record/000387494","HathiTrust Record")</f>
        <v>HathiTrust Record</v>
      </c>
      <c r="AS76" s="6" t="str">
        <f>HYPERLINK("https://creighton-primo.hosted.exlibrisgroup.com/primo-explore/search?tab=default_tab&amp;search_scope=EVERYTHING&amp;vid=01CRU&amp;lang=en_US&amp;offset=0&amp;query=any,contains,991001805709702656","Catalog Record")</f>
        <v>Catalog Record</v>
      </c>
      <c r="AT76" s="6" t="str">
        <f>HYPERLINK("http://www.worldcat.org/oclc/12370863","WorldCat Record")</f>
        <v>WorldCat Record</v>
      </c>
      <c r="AU76" s="3" t="s">
        <v>1099</v>
      </c>
      <c r="AV76" s="3" t="s">
        <v>1100</v>
      </c>
      <c r="AW76" s="3" t="s">
        <v>1101</v>
      </c>
      <c r="AX76" s="3" t="s">
        <v>1101</v>
      </c>
      <c r="AY76" s="3" t="s">
        <v>1102</v>
      </c>
      <c r="AZ76" s="3" t="s">
        <v>73</v>
      </c>
      <c r="BB76" s="3" t="s">
        <v>1103</v>
      </c>
      <c r="BC76" s="3" t="s">
        <v>1104</v>
      </c>
      <c r="BD76" s="3" t="s">
        <v>1105</v>
      </c>
    </row>
    <row r="77" spans="1:56" ht="45" customHeight="1" x14ac:dyDescent="0.25">
      <c r="A77" s="8" t="s">
        <v>58</v>
      </c>
      <c r="B77" s="2" t="s">
        <v>1106</v>
      </c>
      <c r="C77" s="2" t="s">
        <v>1107</v>
      </c>
      <c r="D77" s="2" t="s">
        <v>1108</v>
      </c>
      <c r="F77" s="3" t="s">
        <v>58</v>
      </c>
      <c r="G77" s="3" t="s">
        <v>59</v>
      </c>
      <c r="H77" s="3" t="s">
        <v>58</v>
      </c>
      <c r="I77" s="3" t="s">
        <v>58</v>
      </c>
      <c r="J77" s="3" t="s">
        <v>60</v>
      </c>
      <c r="K77" s="2" t="s">
        <v>1109</v>
      </c>
      <c r="L77" s="2" t="s">
        <v>1110</v>
      </c>
      <c r="M77" s="3" t="s">
        <v>176</v>
      </c>
      <c r="N77" s="2" t="s">
        <v>63</v>
      </c>
      <c r="O77" s="3" t="s">
        <v>64</v>
      </c>
      <c r="P77" s="3" t="s">
        <v>177</v>
      </c>
      <c r="R77" s="3" t="s">
        <v>66</v>
      </c>
      <c r="S77" s="4">
        <v>6</v>
      </c>
      <c r="T77" s="4">
        <v>6</v>
      </c>
      <c r="U77" s="5" t="s">
        <v>1111</v>
      </c>
      <c r="V77" s="5" t="s">
        <v>1111</v>
      </c>
      <c r="W77" s="5" t="s">
        <v>1112</v>
      </c>
      <c r="X77" s="5" t="s">
        <v>1112</v>
      </c>
      <c r="Y77" s="4">
        <v>255</v>
      </c>
      <c r="Z77" s="4">
        <v>247</v>
      </c>
      <c r="AA77" s="4">
        <v>325</v>
      </c>
      <c r="AB77" s="4">
        <v>2</v>
      </c>
      <c r="AC77" s="4">
        <v>2</v>
      </c>
      <c r="AD77" s="4">
        <v>2</v>
      </c>
      <c r="AE77" s="4">
        <v>2</v>
      </c>
      <c r="AF77" s="4">
        <v>0</v>
      </c>
      <c r="AG77" s="4">
        <v>0</v>
      </c>
      <c r="AH77" s="4">
        <v>0</v>
      </c>
      <c r="AI77" s="4">
        <v>0</v>
      </c>
      <c r="AJ77" s="4">
        <v>2</v>
      </c>
      <c r="AK77" s="4">
        <v>2</v>
      </c>
      <c r="AL77" s="4">
        <v>0</v>
      </c>
      <c r="AM77" s="4">
        <v>0</v>
      </c>
      <c r="AN77" s="4">
        <v>0</v>
      </c>
      <c r="AO77" s="4">
        <v>0</v>
      </c>
      <c r="AP77" s="3" t="s">
        <v>58</v>
      </c>
      <c r="AQ77" s="3" t="s">
        <v>58</v>
      </c>
      <c r="AS77" s="6" t="str">
        <f>HYPERLINK("https://creighton-primo.hosted.exlibrisgroup.com/primo-explore/search?tab=default_tab&amp;search_scope=EVERYTHING&amp;vid=01CRU&amp;lang=en_US&amp;offset=0&amp;query=any,contains,991001688479702656","Catalog Record")</f>
        <v>Catalog Record</v>
      </c>
      <c r="AT77" s="6" t="str">
        <f>HYPERLINK("http://www.worldcat.org/oclc/26262497","WorldCat Record")</f>
        <v>WorldCat Record</v>
      </c>
      <c r="AU77" s="3" t="s">
        <v>1113</v>
      </c>
      <c r="AV77" s="3" t="s">
        <v>1114</v>
      </c>
      <c r="AW77" s="3" t="s">
        <v>1115</v>
      </c>
      <c r="AX77" s="3" t="s">
        <v>1115</v>
      </c>
      <c r="AY77" s="3" t="s">
        <v>1116</v>
      </c>
      <c r="AZ77" s="3" t="s">
        <v>73</v>
      </c>
      <c r="BB77" s="3" t="s">
        <v>1117</v>
      </c>
      <c r="BC77" s="3" t="s">
        <v>1118</v>
      </c>
      <c r="BD77" s="3" t="s">
        <v>1119</v>
      </c>
    </row>
    <row r="78" spans="1:56" ht="45" customHeight="1" x14ac:dyDescent="0.25">
      <c r="A78" s="8" t="s">
        <v>58</v>
      </c>
      <c r="B78" s="2" t="s">
        <v>1120</v>
      </c>
      <c r="C78" s="2" t="s">
        <v>1121</v>
      </c>
      <c r="D78" s="2" t="s">
        <v>1122</v>
      </c>
      <c r="F78" s="3" t="s">
        <v>58</v>
      </c>
      <c r="G78" s="3" t="s">
        <v>59</v>
      </c>
      <c r="H78" s="3" t="s">
        <v>58</v>
      </c>
      <c r="I78" s="3" t="s">
        <v>58</v>
      </c>
      <c r="J78" s="3" t="s">
        <v>60</v>
      </c>
      <c r="K78" s="2" t="s">
        <v>1123</v>
      </c>
      <c r="L78" s="2" t="s">
        <v>1124</v>
      </c>
      <c r="M78" s="3" t="s">
        <v>681</v>
      </c>
      <c r="O78" s="3" t="s">
        <v>64</v>
      </c>
      <c r="P78" s="3" t="s">
        <v>1125</v>
      </c>
      <c r="Q78" s="2" t="s">
        <v>1126</v>
      </c>
      <c r="R78" s="3" t="s">
        <v>66</v>
      </c>
      <c r="S78" s="4">
        <v>3</v>
      </c>
      <c r="T78" s="4">
        <v>3</v>
      </c>
      <c r="U78" s="5" t="s">
        <v>1127</v>
      </c>
      <c r="V78" s="5" t="s">
        <v>1127</v>
      </c>
      <c r="W78" s="5" t="s">
        <v>252</v>
      </c>
      <c r="X78" s="5" t="s">
        <v>252</v>
      </c>
      <c r="Y78" s="4">
        <v>3</v>
      </c>
      <c r="Z78" s="4">
        <v>2</v>
      </c>
      <c r="AA78" s="4">
        <v>2</v>
      </c>
      <c r="AB78" s="4">
        <v>1</v>
      </c>
      <c r="AC78" s="4">
        <v>1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3" t="s">
        <v>58</v>
      </c>
      <c r="AQ78" s="3" t="s">
        <v>58</v>
      </c>
      <c r="AS78" s="6" t="str">
        <f>HYPERLINK("https://creighton-primo.hosted.exlibrisgroup.com/primo-explore/search?tab=default_tab&amp;search_scope=EVERYTHING&amp;vid=01CRU&amp;lang=en_US&amp;offset=0&amp;query=any,contains,991000504399702656","Catalog Record")</f>
        <v>Catalog Record</v>
      </c>
      <c r="AT78" s="6" t="str">
        <f>HYPERLINK("http://www.worldcat.org/oclc/11200572","WorldCat Record")</f>
        <v>WorldCat Record</v>
      </c>
      <c r="AU78" s="3" t="s">
        <v>1128</v>
      </c>
      <c r="AV78" s="3" t="s">
        <v>1129</v>
      </c>
      <c r="AW78" s="3" t="s">
        <v>1130</v>
      </c>
      <c r="AX78" s="3" t="s">
        <v>1130</v>
      </c>
      <c r="AY78" s="3" t="s">
        <v>1131</v>
      </c>
      <c r="AZ78" s="3" t="s">
        <v>73</v>
      </c>
      <c r="BC78" s="3" t="s">
        <v>1132</v>
      </c>
      <c r="BD78" s="3" t="s">
        <v>1133</v>
      </c>
    </row>
    <row r="79" spans="1:56" ht="45" customHeight="1" x14ac:dyDescent="0.25">
      <c r="A79" s="8" t="s">
        <v>58</v>
      </c>
      <c r="B79" s="2" t="s">
        <v>1134</v>
      </c>
      <c r="C79" s="2" t="s">
        <v>1135</v>
      </c>
      <c r="D79" s="2" t="s">
        <v>1136</v>
      </c>
      <c r="F79" s="3" t="s">
        <v>58</v>
      </c>
      <c r="G79" s="3" t="s">
        <v>59</v>
      </c>
      <c r="H79" s="3" t="s">
        <v>58</v>
      </c>
      <c r="I79" s="3" t="s">
        <v>58</v>
      </c>
      <c r="J79" s="3" t="s">
        <v>60</v>
      </c>
      <c r="L79" s="2" t="s">
        <v>1137</v>
      </c>
      <c r="M79" s="3" t="s">
        <v>509</v>
      </c>
      <c r="N79" s="2" t="s">
        <v>63</v>
      </c>
      <c r="O79" s="3" t="s">
        <v>64</v>
      </c>
      <c r="P79" s="3" t="s">
        <v>422</v>
      </c>
      <c r="R79" s="3" t="s">
        <v>66</v>
      </c>
      <c r="S79" s="4">
        <v>3</v>
      </c>
      <c r="T79" s="4">
        <v>3</v>
      </c>
      <c r="U79" s="5" t="s">
        <v>1138</v>
      </c>
      <c r="V79" s="5" t="s">
        <v>1138</v>
      </c>
      <c r="W79" s="5" t="s">
        <v>1139</v>
      </c>
      <c r="X79" s="5" t="s">
        <v>1139</v>
      </c>
      <c r="Y79" s="4">
        <v>126</v>
      </c>
      <c r="Z79" s="4">
        <v>89</v>
      </c>
      <c r="AA79" s="4">
        <v>89</v>
      </c>
      <c r="AB79" s="4">
        <v>1</v>
      </c>
      <c r="AC79" s="4">
        <v>1</v>
      </c>
      <c r="AD79" s="4">
        <v>2</v>
      </c>
      <c r="AE79" s="4">
        <v>2</v>
      </c>
      <c r="AF79" s="4">
        <v>0</v>
      </c>
      <c r="AG79" s="4">
        <v>0</v>
      </c>
      <c r="AH79" s="4">
        <v>1</v>
      </c>
      <c r="AI79" s="4">
        <v>1</v>
      </c>
      <c r="AJ79" s="4">
        <v>1</v>
      </c>
      <c r="AK79" s="4">
        <v>1</v>
      </c>
      <c r="AL79" s="4">
        <v>0</v>
      </c>
      <c r="AM79" s="4">
        <v>0</v>
      </c>
      <c r="AN79" s="4">
        <v>0</v>
      </c>
      <c r="AO79" s="4">
        <v>0</v>
      </c>
      <c r="AP79" s="3" t="s">
        <v>58</v>
      </c>
      <c r="AQ79" s="3" t="s">
        <v>58</v>
      </c>
      <c r="AS79" s="6" t="str">
        <f>HYPERLINK("https://creighton-primo.hosted.exlibrisgroup.com/primo-explore/search?tab=default_tab&amp;search_scope=EVERYTHING&amp;vid=01CRU&amp;lang=en_US&amp;offset=0&amp;query=any,contains,991002581239702656","Catalog Record")</f>
        <v>Catalog Record</v>
      </c>
      <c r="AT79" s="6" t="str">
        <f>HYPERLINK("http://www.worldcat.org/oclc/33819932","WorldCat Record")</f>
        <v>WorldCat Record</v>
      </c>
      <c r="AU79" s="3" t="s">
        <v>1140</v>
      </c>
      <c r="AV79" s="3" t="s">
        <v>1141</v>
      </c>
      <c r="AW79" s="3" t="s">
        <v>1142</v>
      </c>
      <c r="AX79" s="3" t="s">
        <v>1142</v>
      </c>
      <c r="AY79" s="3" t="s">
        <v>1143</v>
      </c>
      <c r="AZ79" s="3" t="s">
        <v>73</v>
      </c>
      <c r="BB79" s="3" t="s">
        <v>1144</v>
      </c>
      <c r="BC79" s="3" t="s">
        <v>1145</v>
      </c>
      <c r="BD79" s="3" t="s">
        <v>1146</v>
      </c>
    </row>
    <row r="80" spans="1:56" ht="45" customHeight="1" x14ac:dyDescent="0.25">
      <c r="A80" s="8" t="s">
        <v>58</v>
      </c>
      <c r="B80" s="2" t="s">
        <v>1147</v>
      </c>
      <c r="C80" s="2" t="s">
        <v>1148</v>
      </c>
      <c r="D80" s="2" t="s">
        <v>1149</v>
      </c>
      <c r="F80" s="3" t="s">
        <v>58</v>
      </c>
      <c r="G80" s="3" t="s">
        <v>59</v>
      </c>
      <c r="H80" s="3" t="s">
        <v>58</v>
      </c>
      <c r="I80" s="3" t="s">
        <v>58</v>
      </c>
      <c r="J80" s="3" t="s">
        <v>60</v>
      </c>
      <c r="K80" s="2" t="s">
        <v>1150</v>
      </c>
      <c r="L80" s="2" t="s">
        <v>1151</v>
      </c>
      <c r="M80" s="3" t="s">
        <v>552</v>
      </c>
      <c r="O80" s="3" t="s">
        <v>64</v>
      </c>
      <c r="P80" s="3" t="s">
        <v>99</v>
      </c>
      <c r="Q80" s="2" t="s">
        <v>1152</v>
      </c>
      <c r="R80" s="3" t="s">
        <v>66</v>
      </c>
      <c r="S80" s="4">
        <v>12</v>
      </c>
      <c r="T80" s="4">
        <v>12</v>
      </c>
      <c r="U80" s="5" t="s">
        <v>1153</v>
      </c>
      <c r="V80" s="5" t="s">
        <v>1153</v>
      </c>
      <c r="W80" s="5" t="s">
        <v>1154</v>
      </c>
      <c r="X80" s="5" t="s">
        <v>1154</v>
      </c>
      <c r="Y80" s="4">
        <v>246</v>
      </c>
      <c r="Z80" s="4">
        <v>181</v>
      </c>
      <c r="AA80" s="4">
        <v>183</v>
      </c>
      <c r="AB80" s="4">
        <v>1</v>
      </c>
      <c r="AC80" s="4">
        <v>1</v>
      </c>
      <c r="AD80" s="4">
        <v>2</v>
      </c>
      <c r="AE80" s="4">
        <v>2</v>
      </c>
      <c r="AF80" s="4">
        <v>2</v>
      </c>
      <c r="AG80" s="4">
        <v>2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3" t="s">
        <v>58</v>
      </c>
      <c r="AQ80" s="3" t="s">
        <v>68</v>
      </c>
      <c r="AR80" s="6" t="str">
        <f>HYPERLINK("http://catalog.hathitrust.org/Record/004438178","HathiTrust Record")</f>
        <v>HathiTrust Record</v>
      </c>
      <c r="AS80" s="6" t="str">
        <f>HYPERLINK("https://creighton-primo.hosted.exlibrisgroup.com/primo-explore/search?tab=default_tab&amp;search_scope=EVERYTHING&amp;vid=01CRU&amp;lang=en_US&amp;offset=0&amp;query=any,contains,991001369169702656","Catalog Record")</f>
        <v>Catalog Record</v>
      </c>
      <c r="AT80" s="6" t="str">
        <f>HYPERLINK("http://www.worldcat.org/oclc/18560553","WorldCat Record")</f>
        <v>WorldCat Record</v>
      </c>
      <c r="AU80" s="3" t="s">
        <v>1155</v>
      </c>
      <c r="AV80" s="3" t="s">
        <v>1156</v>
      </c>
      <c r="AW80" s="3" t="s">
        <v>1157</v>
      </c>
      <c r="AX80" s="3" t="s">
        <v>1157</v>
      </c>
      <c r="AY80" s="3" t="s">
        <v>1158</v>
      </c>
      <c r="AZ80" s="3" t="s">
        <v>73</v>
      </c>
      <c r="BB80" s="3" t="s">
        <v>1159</v>
      </c>
      <c r="BC80" s="3" t="s">
        <v>1160</v>
      </c>
      <c r="BD80" s="3" t="s">
        <v>1161</v>
      </c>
    </row>
    <row r="81" spans="1:56" ht="45" customHeight="1" x14ac:dyDescent="0.25">
      <c r="A81" s="8" t="s">
        <v>58</v>
      </c>
      <c r="B81" s="2" t="s">
        <v>1162</v>
      </c>
      <c r="C81" s="2" t="s">
        <v>1163</v>
      </c>
      <c r="D81" s="2" t="s">
        <v>1164</v>
      </c>
      <c r="F81" s="3" t="s">
        <v>58</v>
      </c>
      <c r="G81" s="3" t="s">
        <v>59</v>
      </c>
      <c r="H81" s="3" t="s">
        <v>58</v>
      </c>
      <c r="I81" s="3" t="s">
        <v>58</v>
      </c>
      <c r="J81" s="3" t="s">
        <v>60</v>
      </c>
      <c r="L81" s="2" t="s">
        <v>1165</v>
      </c>
      <c r="M81" s="3" t="s">
        <v>1166</v>
      </c>
      <c r="O81" s="3" t="s">
        <v>64</v>
      </c>
      <c r="P81" s="3" t="s">
        <v>177</v>
      </c>
      <c r="R81" s="3" t="s">
        <v>66</v>
      </c>
      <c r="S81" s="4">
        <v>13</v>
      </c>
      <c r="T81" s="4">
        <v>13</v>
      </c>
      <c r="U81" s="5" t="s">
        <v>1167</v>
      </c>
      <c r="V81" s="5" t="s">
        <v>1167</v>
      </c>
      <c r="W81" s="5" t="s">
        <v>1168</v>
      </c>
      <c r="X81" s="5" t="s">
        <v>1168</v>
      </c>
      <c r="Y81" s="4">
        <v>579</v>
      </c>
      <c r="Z81" s="4">
        <v>513</v>
      </c>
      <c r="AA81" s="4">
        <v>515</v>
      </c>
      <c r="AB81" s="4">
        <v>3</v>
      </c>
      <c r="AC81" s="4">
        <v>3</v>
      </c>
      <c r="AD81" s="4">
        <v>22</v>
      </c>
      <c r="AE81" s="4">
        <v>22</v>
      </c>
      <c r="AF81" s="4">
        <v>8</v>
      </c>
      <c r="AG81" s="4">
        <v>8</v>
      </c>
      <c r="AH81" s="4">
        <v>3</v>
      </c>
      <c r="AI81" s="4">
        <v>3</v>
      </c>
      <c r="AJ81" s="4">
        <v>12</v>
      </c>
      <c r="AK81" s="4">
        <v>12</v>
      </c>
      <c r="AL81" s="4">
        <v>2</v>
      </c>
      <c r="AM81" s="4">
        <v>2</v>
      </c>
      <c r="AN81" s="4">
        <v>1</v>
      </c>
      <c r="AO81" s="4">
        <v>1</v>
      </c>
      <c r="AP81" s="3" t="s">
        <v>58</v>
      </c>
      <c r="AQ81" s="3" t="s">
        <v>58</v>
      </c>
      <c r="AS81" s="6" t="str">
        <f>HYPERLINK("https://creighton-primo.hosted.exlibrisgroup.com/primo-explore/search?tab=default_tab&amp;search_scope=EVERYTHING&amp;vid=01CRU&amp;lang=en_US&amp;offset=0&amp;query=any,contains,991002243439702656","Catalog Record")</f>
        <v>Catalog Record</v>
      </c>
      <c r="AT81" s="6" t="str">
        <f>HYPERLINK("http://www.worldcat.org/oclc/28929040","WorldCat Record")</f>
        <v>WorldCat Record</v>
      </c>
      <c r="AU81" s="3" t="s">
        <v>1169</v>
      </c>
      <c r="AV81" s="3" t="s">
        <v>1170</v>
      </c>
      <c r="AW81" s="3" t="s">
        <v>1171</v>
      </c>
      <c r="AX81" s="3" t="s">
        <v>1171</v>
      </c>
      <c r="AY81" s="3" t="s">
        <v>1172</v>
      </c>
      <c r="AZ81" s="3" t="s">
        <v>73</v>
      </c>
      <c r="BB81" s="3" t="s">
        <v>1173</v>
      </c>
      <c r="BC81" s="3" t="s">
        <v>1174</v>
      </c>
      <c r="BD81" s="3" t="s">
        <v>1175</v>
      </c>
    </row>
    <row r="82" spans="1:56" ht="45" customHeight="1" x14ac:dyDescent="0.25">
      <c r="A82" s="8" t="s">
        <v>58</v>
      </c>
      <c r="B82" s="2" t="s">
        <v>1176</v>
      </c>
      <c r="C82" s="2" t="s">
        <v>1177</v>
      </c>
      <c r="D82" s="2" t="s">
        <v>1178</v>
      </c>
      <c r="F82" s="3" t="s">
        <v>58</v>
      </c>
      <c r="G82" s="3" t="s">
        <v>59</v>
      </c>
      <c r="H82" s="3" t="s">
        <v>58</v>
      </c>
      <c r="I82" s="3" t="s">
        <v>58</v>
      </c>
      <c r="J82" s="3" t="s">
        <v>60</v>
      </c>
      <c r="K82" s="2" t="s">
        <v>1179</v>
      </c>
      <c r="L82" s="2" t="s">
        <v>1180</v>
      </c>
      <c r="M82" s="3" t="s">
        <v>1181</v>
      </c>
      <c r="O82" s="3" t="s">
        <v>64</v>
      </c>
      <c r="P82" s="3" t="s">
        <v>65</v>
      </c>
      <c r="R82" s="3" t="s">
        <v>66</v>
      </c>
      <c r="S82" s="4">
        <v>28</v>
      </c>
      <c r="T82" s="4">
        <v>28</v>
      </c>
      <c r="U82" s="5" t="s">
        <v>1182</v>
      </c>
      <c r="V82" s="5" t="s">
        <v>1182</v>
      </c>
      <c r="W82" s="5" t="s">
        <v>1183</v>
      </c>
      <c r="X82" s="5" t="s">
        <v>1183</v>
      </c>
      <c r="Y82" s="4">
        <v>388</v>
      </c>
      <c r="Z82" s="4">
        <v>335</v>
      </c>
      <c r="AA82" s="4">
        <v>337</v>
      </c>
      <c r="AB82" s="4">
        <v>4</v>
      </c>
      <c r="AC82" s="4">
        <v>4</v>
      </c>
      <c r="AD82" s="4">
        <v>18</v>
      </c>
      <c r="AE82" s="4">
        <v>18</v>
      </c>
      <c r="AF82" s="4">
        <v>8</v>
      </c>
      <c r="AG82" s="4">
        <v>8</v>
      </c>
      <c r="AH82" s="4">
        <v>3</v>
      </c>
      <c r="AI82" s="4">
        <v>3</v>
      </c>
      <c r="AJ82" s="4">
        <v>9</v>
      </c>
      <c r="AK82" s="4">
        <v>9</v>
      </c>
      <c r="AL82" s="4">
        <v>3</v>
      </c>
      <c r="AM82" s="4">
        <v>3</v>
      </c>
      <c r="AN82" s="4">
        <v>0</v>
      </c>
      <c r="AO82" s="4">
        <v>0</v>
      </c>
      <c r="AP82" s="3" t="s">
        <v>58</v>
      </c>
      <c r="AQ82" s="3" t="s">
        <v>68</v>
      </c>
      <c r="AR82" s="6" t="str">
        <f>HYPERLINK("http://catalog.hathitrust.org/Record/002573891","HathiTrust Record")</f>
        <v>HathiTrust Record</v>
      </c>
      <c r="AS82" s="6" t="str">
        <f>HYPERLINK("https://creighton-primo.hosted.exlibrisgroup.com/primo-explore/search?tab=default_tab&amp;search_scope=EVERYTHING&amp;vid=01CRU&amp;lang=en_US&amp;offset=0&amp;query=any,contains,991002011659702656","Catalog Record")</f>
        <v>Catalog Record</v>
      </c>
      <c r="AT82" s="6" t="str">
        <f>HYPERLINK("http://www.worldcat.org/oclc/25592592","WorldCat Record")</f>
        <v>WorldCat Record</v>
      </c>
      <c r="AU82" s="3" t="s">
        <v>1184</v>
      </c>
      <c r="AV82" s="3" t="s">
        <v>1185</v>
      </c>
      <c r="AW82" s="3" t="s">
        <v>1186</v>
      </c>
      <c r="AX82" s="3" t="s">
        <v>1186</v>
      </c>
      <c r="AY82" s="3" t="s">
        <v>1187</v>
      </c>
      <c r="AZ82" s="3" t="s">
        <v>73</v>
      </c>
      <c r="BB82" s="3" t="s">
        <v>1188</v>
      </c>
      <c r="BC82" s="3" t="s">
        <v>1189</v>
      </c>
      <c r="BD82" s="3" t="s">
        <v>1190</v>
      </c>
    </row>
    <row r="83" spans="1:56" ht="45" customHeight="1" x14ac:dyDescent="0.25">
      <c r="A83" s="8" t="s">
        <v>58</v>
      </c>
      <c r="B83" s="2" t="s">
        <v>1191</v>
      </c>
      <c r="C83" s="2" t="s">
        <v>1192</v>
      </c>
      <c r="D83" s="2" t="s">
        <v>1193</v>
      </c>
      <c r="F83" s="3" t="s">
        <v>58</v>
      </c>
      <c r="G83" s="3" t="s">
        <v>59</v>
      </c>
      <c r="H83" s="3" t="s">
        <v>58</v>
      </c>
      <c r="I83" s="3" t="s">
        <v>58</v>
      </c>
      <c r="J83" s="3" t="s">
        <v>60</v>
      </c>
      <c r="K83" s="2" t="s">
        <v>1194</v>
      </c>
      <c r="L83" s="2" t="s">
        <v>1195</v>
      </c>
      <c r="M83" s="3" t="s">
        <v>580</v>
      </c>
      <c r="N83" s="2" t="s">
        <v>63</v>
      </c>
      <c r="O83" s="3" t="s">
        <v>64</v>
      </c>
      <c r="P83" s="3" t="s">
        <v>177</v>
      </c>
      <c r="R83" s="3" t="s">
        <v>66</v>
      </c>
      <c r="S83" s="4">
        <v>17</v>
      </c>
      <c r="T83" s="4">
        <v>17</v>
      </c>
      <c r="U83" s="5" t="s">
        <v>1196</v>
      </c>
      <c r="V83" s="5" t="s">
        <v>1196</v>
      </c>
      <c r="W83" s="5" t="s">
        <v>1197</v>
      </c>
      <c r="X83" s="5" t="s">
        <v>1197</v>
      </c>
      <c r="Y83" s="4">
        <v>377</v>
      </c>
      <c r="Z83" s="4">
        <v>356</v>
      </c>
      <c r="AA83" s="4">
        <v>404</v>
      </c>
      <c r="AB83" s="4">
        <v>1</v>
      </c>
      <c r="AC83" s="4">
        <v>1</v>
      </c>
      <c r="AD83" s="4">
        <v>5</v>
      </c>
      <c r="AE83" s="4">
        <v>5</v>
      </c>
      <c r="AF83" s="4">
        <v>0</v>
      </c>
      <c r="AG83" s="4">
        <v>0</v>
      </c>
      <c r="AH83" s="4">
        <v>1</v>
      </c>
      <c r="AI83" s="4">
        <v>1</v>
      </c>
      <c r="AJ83" s="4">
        <v>4</v>
      </c>
      <c r="AK83" s="4">
        <v>4</v>
      </c>
      <c r="AL83" s="4">
        <v>0</v>
      </c>
      <c r="AM83" s="4">
        <v>0</v>
      </c>
      <c r="AN83" s="4">
        <v>0</v>
      </c>
      <c r="AO83" s="4">
        <v>0</v>
      </c>
      <c r="AP83" s="3" t="s">
        <v>58</v>
      </c>
      <c r="AQ83" s="3" t="s">
        <v>58</v>
      </c>
      <c r="AS83" s="6" t="str">
        <f>HYPERLINK("https://creighton-primo.hosted.exlibrisgroup.com/primo-explore/search?tab=default_tab&amp;search_scope=EVERYTHING&amp;vid=01CRU&amp;lang=en_US&amp;offset=0&amp;query=any,contains,991001308509702656","Catalog Record")</f>
        <v>Catalog Record</v>
      </c>
      <c r="AT83" s="6" t="str">
        <f>HYPERLINK("http://www.worldcat.org/oclc/18134748","WorldCat Record")</f>
        <v>WorldCat Record</v>
      </c>
      <c r="AU83" s="3" t="s">
        <v>1198</v>
      </c>
      <c r="AV83" s="3" t="s">
        <v>1199</v>
      </c>
      <c r="AW83" s="3" t="s">
        <v>1200</v>
      </c>
      <c r="AX83" s="3" t="s">
        <v>1200</v>
      </c>
      <c r="AY83" s="3" t="s">
        <v>1201</v>
      </c>
      <c r="AZ83" s="3" t="s">
        <v>73</v>
      </c>
      <c r="BB83" s="3" t="s">
        <v>1202</v>
      </c>
      <c r="BC83" s="3" t="s">
        <v>1203</v>
      </c>
      <c r="BD83" s="3" t="s">
        <v>1204</v>
      </c>
    </row>
    <row r="84" spans="1:56" ht="45" customHeight="1" x14ac:dyDescent="0.25">
      <c r="A84" s="8" t="s">
        <v>58</v>
      </c>
      <c r="B84" s="2" t="s">
        <v>1205</v>
      </c>
      <c r="C84" s="2" t="s">
        <v>1206</v>
      </c>
      <c r="D84" s="2" t="s">
        <v>1207</v>
      </c>
      <c r="F84" s="3" t="s">
        <v>58</v>
      </c>
      <c r="G84" s="3" t="s">
        <v>59</v>
      </c>
      <c r="H84" s="3" t="s">
        <v>58</v>
      </c>
      <c r="I84" s="3" t="s">
        <v>58</v>
      </c>
      <c r="J84" s="3" t="s">
        <v>60</v>
      </c>
      <c r="K84" s="2" t="s">
        <v>1208</v>
      </c>
      <c r="L84" s="2" t="s">
        <v>1209</v>
      </c>
      <c r="M84" s="3" t="s">
        <v>552</v>
      </c>
      <c r="O84" s="3" t="s">
        <v>64</v>
      </c>
      <c r="P84" s="3" t="s">
        <v>130</v>
      </c>
      <c r="R84" s="3" t="s">
        <v>66</v>
      </c>
      <c r="S84" s="4">
        <v>12</v>
      </c>
      <c r="T84" s="4">
        <v>12</v>
      </c>
      <c r="U84" s="5" t="s">
        <v>1210</v>
      </c>
      <c r="V84" s="5" t="s">
        <v>1210</v>
      </c>
      <c r="W84" s="5" t="s">
        <v>1211</v>
      </c>
      <c r="X84" s="5" t="s">
        <v>1211</v>
      </c>
      <c r="Y84" s="4">
        <v>215</v>
      </c>
      <c r="Z84" s="4">
        <v>212</v>
      </c>
      <c r="AA84" s="4">
        <v>215</v>
      </c>
      <c r="AB84" s="4">
        <v>4</v>
      </c>
      <c r="AC84" s="4">
        <v>4</v>
      </c>
      <c r="AD84" s="4">
        <v>8</v>
      </c>
      <c r="AE84" s="4">
        <v>8</v>
      </c>
      <c r="AF84" s="4">
        <v>4</v>
      </c>
      <c r="AG84" s="4">
        <v>4</v>
      </c>
      <c r="AH84" s="4">
        <v>1</v>
      </c>
      <c r="AI84" s="4">
        <v>1</v>
      </c>
      <c r="AJ84" s="4">
        <v>3</v>
      </c>
      <c r="AK84" s="4">
        <v>3</v>
      </c>
      <c r="AL84" s="4">
        <v>3</v>
      </c>
      <c r="AM84" s="4">
        <v>3</v>
      </c>
      <c r="AN84" s="4">
        <v>0</v>
      </c>
      <c r="AO84" s="4">
        <v>0</v>
      </c>
      <c r="AP84" s="3" t="s">
        <v>58</v>
      </c>
      <c r="AQ84" s="3" t="s">
        <v>58</v>
      </c>
      <c r="AS84" s="6" t="str">
        <f>HYPERLINK("https://creighton-primo.hosted.exlibrisgroup.com/primo-explore/search?tab=default_tab&amp;search_scope=EVERYTHING&amp;vid=01CRU&amp;lang=en_US&amp;offset=0&amp;query=any,contains,991001485879702656","Catalog Record")</f>
        <v>Catalog Record</v>
      </c>
      <c r="AT84" s="6" t="str">
        <f>HYPERLINK("http://www.worldcat.org/oclc/19655138","WorldCat Record")</f>
        <v>WorldCat Record</v>
      </c>
      <c r="AU84" s="3" t="s">
        <v>1212</v>
      </c>
      <c r="AV84" s="3" t="s">
        <v>1213</v>
      </c>
      <c r="AW84" s="3" t="s">
        <v>1214</v>
      </c>
      <c r="AX84" s="3" t="s">
        <v>1214</v>
      </c>
      <c r="AY84" s="3" t="s">
        <v>1215</v>
      </c>
      <c r="AZ84" s="3" t="s">
        <v>73</v>
      </c>
      <c r="BC84" s="3" t="s">
        <v>1216</v>
      </c>
      <c r="BD84" s="3" t="s">
        <v>1217</v>
      </c>
    </row>
    <row r="85" spans="1:56" ht="45" customHeight="1" x14ac:dyDescent="0.25">
      <c r="A85" s="8" t="s">
        <v>58</v>
      </c>
      <c r="B85" s="2" t="s">
        <v>1218</v>
      </c>
      <c r="C85" s="2" t="s">
        <v>1219</v>
      </c>
      <c r="D85" s="2" t="s">
        <v>1220</v>
      </c>
      <c r="F85" s="3" t="s">
        <v>58</v>
      </c>
      <c r="G85" s="3" t="s">
        <v>59</v>
      </c>
      <c r="H85" s="3" t="s">
        <v>58</v>
      </c>
      <c r="I85" s="3" t="s">
        <v>58</v>
      </c>
      <c r="J85" s="3" t="s">
        <v>60</v>
      </c>
      <c r="L85" s="2" t="s">
        <v>1221</v>
      </c>
      <c r="M85" s="3" t="s">
        <v>580</v>
      </c>
      <c r="O85" s="3" t="s">
        <v>64</v>
      </c>
      <c r="P85" s="3" t="s">
        <v>99</v>
      </c>
      <c r="Q85" s="2" t="s">
        <v>1222</v>
      </c>
      <c r="R85" s="3" t="s">
        <v>66</v>
      </c>
      <c r="S85" s="4">
        <v>48</v>
      </c>
      <c r="T85" s="4">
        <v>48</v>
      </c>
      <c r="U85" s="5" t="s">
        <v>1223</v>
      </c>
      <c r="V85" s="5" t="s">
        <v>1223</v>
      </c>
      <c r="W85" s="5" t="s">
        <v>1224</v>
      </c>
      <c r="X85" s="5" t="s">
        <v>1224</v>
      </c>
      <c r="Y85" s="4">
        <v>499</v>
      </c>
      <c r="Z85" s="4">
        <v>409</v>
      </c>
      <c r="AA85" s="4">
        <v>416</v>
      </c>
      <c r="AB85" s="4">
        <v>7</v>
      </c>
      <c r="AC85" s="4">
        <v>7</v>
      </c>
      <c r="AD85" s="4">
        <v>17</v>
      </c>
      <c r="AE85" s="4">
        <v>17</v>
      </c>
      <c r="AF85" s="4">
        <v>4</v>
      </c>
      <c r="AG85" s="4">
        <v>4</v>
      </c>
      <c r="AH85" s="4">
        <v>2</v>
      </c>
      <c r="AI85" s="4">
        <v>2</v>
      </c>
      <c r="AJ85" s="4">
        <v>8</v>
      </c>
      <c r="AK85" s="4">
        <v>8</v>
      </c>
      <c r="AL85" s="4">
        <v>6</v>
      </c>
      <c r="AM85" s="4">
        <v>6</v>
      </c>
      <c r="AN85" s="4">
        <v>0</v>
      </c>
      <c r="AO85" s="4">
        <v>0</v>
      </c>
      <c r="AP85" s="3" t="s">
        <v>58</v>
      </c>
      <c r="AQ85" s="3" t="s">
        <v>68</v>
      </c>
      <c r="AR85" s="6" t="str">
        <f>HYPERLINK("http://catalog.hathitrust.org/Record/004410367","HathiTrust Record")</f>
        <v>HathiTrust Record</v>
      </c>
      <c r="AS85" s="6" t="str">
        <f>HYPERLINK("https://creighton-primo.hosted.exlibrisgroup.com/primo-explore/search?tab=default_tab&amp;search_scope=EVERYTHING&amp;vid=01CRU&amp;lang=en_US&amp;offset=0&amp;query=any,contains,991001130709702656","Catalog Record")</f>
        <v>Catalog Record</v>
      </c>
      <c r="AT85" s="6" t="str">
        <f>HYPERLINK("http://www.worldcat.org/oclc/16682713","WorldCat Record")</f>
        <v>WorldCat Record</v>
      </c>
      <c r="AU85" s="3" t="s">
        <v>1225</v>
      </c>
      <c r="AV85" s="3" t="s">
        <v>1226</v>
      </c>
      <c r="AW85" s="3" t="s">
        <v>1227</v>
      </c>
      <c r="AX85" s="3" t="s">
        <v>1227</v>
      </c>
      <c r="AY85" s="3" t="s">
        <v>1228</v>
      </c>
      <c r="AZ85" s="3" t="s">
        <v>73</v>
      </c>
      <c r="BB85" s="3" t="s">
        <v>1229</v>
      </c>
      <c r="BC85" s="3" t="s">
        <v>1230</v>
      </c>
      <c r="BD85" s="3" t="s">
        <v>1231</v>
      </c>
    </row>
    <row r="86" spans="1:56" ht="45" customHeight="1" x14ac:dyDescent="0.25">
      <c r="A86" s="8" t="s">
        <v>58</v>
      </c>
      <c r="B86" s="2" t="s">
        <v>1232</v>
      </c>
      <c r="C86" s="2" t="s">
        <v>1233</v>
      </c>
      <c r="D86" s="2" t="s">
        <v>1234</v>
      </c>
      <c r="F86" s="3" t="s">
        <v>58</v>
      </c>
      <c r="G86" s="3" t="s">
        <v>59</v>
      </c>
      <c r="H86" s="3" t="s">
        <v>58</v>
      </c>
      <c r="I86" s="3" t="s">
        <v>58</v>
      </c>
      <c r="J86" s="3" t="s">
        <v>60</v>
      </c>
      <c r="K86" s="2" t="s">
        <v>1235</v>
      </c>
      <c r="L86" s="2" t="s">
        <v>1236</v>
      </c>
      <c r="M86" s="3" t="s">
        <v>450</v>
      </c>
      <c r="O86" s="3" t="s">
        <v>64</v>
      </c>
      <c r="P86" s="3" t="s">
        <v>177</v>
      </c>
      <c r="Q86" s="2" t="s">
        <v>1237</v>
      </c>
      <c r="R86" s="3" t="s">
        <v>66</v>
      </c>
      <c r="S86" s="4">
        <v>19</v>
      </c>
      <c r="T86" s="4">
        <v>19</v>
      </c>
      <c r="U86" s="5" t="s">
        <v>1238</v>
      </c>
      <c r="V86" s="5" t="s">
        <v>1238</v>
      </c>
      <c r="W86" s="5" t="s">
        <v>380</v>
      </c>
      <c r="X86" s="5" t="s">
        <v>380</v>
      </c>
      <c r="Y86" s="4">
        <v>282</v>
      </c>
      <c r="Z86" s="4">
        <v>211</v>
      </c>
      <c r="AA86" s="4">
        <v>218</v>
      </c>
      <c r="AB86" s="4">
        <v>3</v>
      </c>
      <c r="AC86" s="4">
        <v>3</v>
      </c>
      <c r="AD86" s="4">
        <v>7</v>
      </c>
      <c r="AE86" s="4">
        <v>7</v>
      </c>
      <c r="AF86" s="4">
        <v>2</v>
      </c>
      <c r="AG86" s="4">
        <v>2</v>
      </c>
      <c r="AH86" s="4">
        <v>2</v>
      </c>
      <c r="AI86" s="4">
        <v>2</v>
      </c>
      <c r="AJ86" s="4">
        <v>3</v>
      </c>
      <c r="AK86" s="4">
        <v>3</v>
      </c>
      <c r="AL86" s="4">
        <v>2</v>
      </c>
      <c r="AM86" s="4">
        <v>2</v>
      </c>
      <c r="AN86" s="4">
        <v>0</v>
      </c>
      <c r="AO86" s="4">
        <v>0</v>
      </c>
      <c r="AP86" s="3" t="s">
        <v>58</v>
      </c>
      <c r="AQ86" s="3" t="s">
        <v>68</v>
      </c>
      <c r="AR86" s="6" t="str">
        <f>HYPERLINK("http://catalog.hathitrust.org/Record/000831162","HathiTrust Record")</f>
        <v>HathiTrust Record</v>
      </c>
      <c r="AS86" s="6" t="str">
        <f>HYPERLINK("https://creighton-primo.hosted.exlibrisgroup.com/primo-explore/search?tab=default_tab&amp;search_scope=EVERYTHING&amp;vid=01CRU&amp;lang=en_US&amp;offset=0&amp;query=any,contains,991000948349702656","Catalog Record")</f>
        <v>Catalog Record</v>
      </c>
      <c r="AT86" s="6" t="str">
        <f>HYPERLINK("http://www.worldcat.org/oclc/14588853","WorldCat Record")</f>
        <v>WorldCat Record</v>
      </c>
      <c r="AU86" s="3" t="s">
        <v>1239</v>
      </c>
      <c r="AV86" s="3" t="s">
        <v>1240</v>
      </c>
      <c r="AW86" s="3" t="s">
        <v>1241</v>
      </c>
      <c r="AX86" s="3" t="s">
        <v>1241</v>
      </c>
      <c r="AY86" s="3" t="s">
        <v>1242</v>
      </c>
      <c r="AZ86" s="3" t="s">
        <v>73</v>
      </c>
      <c r="BB86" s="3" t="s">
        <v>1243</v>
      </c>
      <c r="BC86" s="3" t="s">
        <v>1244</v>
      </c>
      <c r="BD86" s="3" t="s">
        <v>1245</v>
      </c>
    </row>
    <row r="87" spans="1:56" ht="45" customHeight="1" x14ac:dyDescent="0.25">
      <c r="A87" s="8" t="s">
        <v>58</v>
      </c>
      <c r="B87" s="2" t="s">
        <v>1246</v>
      </c>
      <c r="C87" s="2" t="s">
        <v>1247</v>
      </c>
      <c r="D87" s="2" t="s">
        <v>1248</v>
      </c>
      <c r="F87" s="3" t="s">
        <v>58</v>
      </c>
      <c r="G87" s="3" t="s">
        <v>59</v>
      </c>
      <c r="H87" s="3" t="s">
        <v>58</v>
      </c>
      <c r="I87" s="3" t="s">
        <v>58</v>
      </c>
      <c r="J87" s="3" t="s">
        <v>60</v>
      </c>
      <c r="L87" s="2" t="s">
        <v>1249</v>
      </c>
      <c r="M87" s="3" t="s">
        <v>832</v>
      </c>
      <c r="O87" s="3" t="s">
        <v>64</v>
      </c>
      <c r="P87" s="3" t="s">
        <v>99</v>
      </c>
      <c r="R87" s="3" t="s">
        <v>66</v>
      </c>
      <c r="S87" s="4">
        <v>1</v>
      </c>
      <c r="T87" s="4">
        <v>1</v>
      </c>
      <c r="U87" s="5" t="s">
        <v>1250</v>
      </c>
      <c r="V87" s="5" t="s">
        <v>1250</v>
      </c>
      <c r="W87" s="5" t="s">
        <v>1250</v>
      </c>
      <c r="X87" s="5" t="s">
        <v>1250</v>
      </c>
      <c r="Y87" s="4">
        <v>281</v>
      </c>
      <c r="Z87" s="4">
        <v>170</v>
      </c>
      <c r="AA87" s="4">
        <v>189</v>
      </c>
      <c r="AB87" s="4">
        <v>2</v>
      </c>
      <c r="AC87" s="4">
        <v>2</v>
      </c>
      <c r="AD87" s="4">
        <v>6</v>
      </c>
      <c r="AE87" s="4">
        <v>6</v>
      </c>
      <c r="AF87" s="4">
        <v>3</v>
      </c>
      <c r="AG87" s="4">
        <v>3</v>
      </c>
      <c r="AH87" s="4">
        <v>2</v>
      </c>
      <c r="AI87" s="4">
        <v>2</v>
      </c>
      <c r="AJ87" s="4">
        <v>3</v>
      </c>
      <c r="AK87" s="4">
        <v>3</v>
      </c>
      <c r="AL87" s="4">
        <v>1</v>
      </c>
      <c r="AM87" s="4">
        <v>1</v>
      </c>
      <c r="AN87" s="4">
        <v>0</v>
      </c>
      <c r="AO87" s="4">
        <v>0</v>
      </c>
      <c r="AP87" s="3" t="s">
        <v>58</v>
      </c>
      <c r="AQ87" s="3" t="s">
        <v>58</v>
      </c>
      <c r="AS87" s="6" t="str">
        <f>HYPERLINK("https://creighton-primo.hosted.exlibrisgroup.com/primo-explore/search?tab=default_tab&amp;search_scope=EVERYTHING&amp;vid=01CRU&amp;lang=en_US&amp;offset=0&amp;query=any,contains,991000377759702656","Catalog Record")</f>
        <v>Catalog Record</v>
      </c>
      <c r="AT87" s="6" t="str">
        <f>HYPERLINK("http://www.worldcat.org/oclc/213008133","WorldCat Record")</f>
        <v>WorldCat Record</v>
      </c>
      <c r="AU87" s="3" t="s">
        <v>1251</v>
      </c>
      <c r="AV87" s="3" t="s">
        <v>1252</v>
      </c>
      <c r="AW87" s="3" t="s">
        <v>1253</v>
      </c>
      <c r="AX87" s="3" t="s">
        <v>1253</v>
      </c>
      <c r="AY87" s="3" t="s">
        <v>1254</v>
      </c>
      <c r="AZ87" s="3" t="s">
        <v>73</v>
      </c>
      <c r="BB87" s="3" t="s">
        <v>1255</v>
      </c>
      <c r="BC87" s="3" t="s">
        <v>1256</v>
      </c>
      <c r="BD87" s="3" t="s">
        <v>1257</v>
      </c>
    </row>
    <row r="88" spans="1:56" ht="45" customHeight="1" x14ac:dyDescent="0.25">
      <c r="A88" s="8" t="s">
        <v>58</v>
      </c>
      <c r="B88" s="2" t="s">
        <v>1258</v>
      </c>
      <c r="C88" s="2" t="s">
        <v>1259</v>
      </c>
      <c r="D88" s="2" t="s">
        <v>1260</v>
      </c>
      <c r="F88" s="3" t="s">
        <v>58</v>
      </c>
      <c r="G88" s="3" t="s">
        <v>59</v>
      </c>
      <c r="H88" s="3" t="s">
        <v>58</v>
      </c>
      <c r="I88" s="3" t="s">
        <v>58</v>
      </c>
      <c r="J88" s="3" t="s">
        <v>60</v>
      </c>
      <c r="L88" s="2" t="s">
        <v>1261</v>
      </c>
      <c r="M88" s="3" t="s">
        <v>129</v>
      </c>
      <c r="O88" s="3" t="s">
        <v>64</v>
      </c>
      <c r="P88" s="3" t="s">
        <v>114</v>
      </c>
      <c r="R88" s="3" t="s">
        <v>66</v>
      </c>
      <c r="S88" s="4">
        <v>6</v>
      </c>
      <c r="T88" s="4">
        <v>6</v>
      </c>
      <c r="U88" s="5" t="s">
        <v>1262</v>
      </c>
      <c r="V88" s="5" t="s">
        <v>1262</v>
      </c>
      <c r="W88" s="5" t="s">
        <v>1263</v>
      </c>
      <c r="X88" s="5" t="s">
        <v>1263</v>
      </c>
      <c r="Y88" s="4">
        <v>122</v>
      </c>
      <c r="Z88" s="4">
        <v>58</v>
      </c>
      <c r="AA88" s="4">
        <v>337</v>
      </c>
      <c r="AB88" s="4">
        <v>2</v>
      </c>
      <c r="AC88" s="4">
        <v>2</v>
      </c>
      <c r="AD88" s="4">
        <v>1</v>
      </c>
      <c r="AE88" s="4">
        <v>7</v>
      </c>
      <c r="AF88" s="4">
        <v>0</v>
      </c>
      <c r="AG88" s="4">
        <v>2</v>
      </c>
      <c r="AH88" s="4">
        <v>0</v>
      </c>
      <c r="AI88" s="4">
        <v>1</v>
      </c>
      <c r="AJ88" s="4">
        <v>0</v>
      </c>
      <c r="AK88" s="4">
        <v>3</v>
      </c>
      <c r="AL88" s="4">
        <v>1</v>
      </c>
      <c r="AM88" s="4">
        <v>1</v>
      </c>
      <c r="AN88" s="4">
        <v>0</v>
      </c>
      <c r="AO88" s="4">
        <v>0</v>
      </c>
      <c r="AP88" s="3" t="s">
        <v>58</v>
      </c>
      <c r="AQ88" s="3" t="s">
        <v>58</v>
      </c>
      <c r="AS88" s="6" t="str">
        <f>HYPERLINK("https://creighton-primo.hosted.exlibrisgroup.com/primo-explore/search?tab=default_tab&amp;search_scope=EVERYTHING&amp;vid=01CRU&amp;lang=en_US&amp;offset=0&amp;query=any,contains,991004223419702656","Catalog Record")</f>
        <v>Catalog Record</v>
      </c>
      <c r="AT88" s="6" t="str">
        <f>HYPERLINK("http://www.worldcat.org/oclc/2720378","WorldCat Record")</f>
        <v>WorldCat Record</v>
      </c>
      <c r="AU88" s="3" t="s">
        <v>1264</v>
      </c>
      <c r="AV88" s="3" t="s">
        <v>1265</v>
      </c>
      <c r="AW88" s="3" t="s">
        <v>1266</v>
      </c>
      <c r="AX88" s="3" t="s">
        <v>1266</v>
      </c>
      <c r="AY88" s="3" t="s">
        <v>1267</v>
      </c>
      <c r="AZ88" s="3" t="s">
        <v>73</v>
      </c>
      <c r="BB88" s="3" t="s">
        <v>1268</v>
      </c>
      <c r="BC88" s="3" t="s">
        <v>1269</v>
      </c>
      <c r="BD88" s="3" t="s">
        <v>1270</v>
      </c>
    </row>
    <row r="89" spans="1:56" ht="45" customHeight="1" x14ac:dyDescent="0.25">
      <c r="A89" s="8" t="s">
        <v>58</v>
      </c>
      <c r="B89" s="2" t="s">
        <v>1271</v>
      </c>
      <c r="C89" s="2" t="s">
        <v>1272</v>
      </c>
      <c r="D89" s="2" t="s">
        <v>1273</v>
      </c>
      <c r="F89" s="3" t="s">
        <v>58</v>
      </c>
      <c r="G89" s="3" t="s">
        <v>59</v>
      </c>
      <c r="H89" s="3" t="s">
        <v>58</v>
      </c>
      <c r="I89" s="3" t="s">
        <v>58</v>
      </c>
      <c r="J89" s="3" t="s">
        <v>60</v>
      </c>
      <c r="K89" s="2" t="s">
        <v>1274</v>
      </c>
      <c r="L89" s="2" t="s">
        <v>1275</v>
      </c>
      <c r="M89" s="3" t="s">
        <v>480</v>
      </c>
      <c r="N89" s="2" t="s">
        <v>63</v>
      </c>
      <c r="O89" s="3" t="s">
        <v>64</v>
      </c>
      <c r="P89" s="3" t="s">
        <v>177</v>
      </c>
      <c r="R89" s="3" t="s">
        <v>66</v>
      </c>
      <c r="S89" s="4">
        <v>7</v>
      </c>
      <c r="T89" s="4">
        <v>7</v>
      </c>
      <c r="U89" s="5" t="s">
        <v>1238</v>
      </c>
      <c r="V89" s="5" t="s">
        <v>1238</v>
      </c>
      <c r="W89" s="5" t="s">
        <v>453</v>
      </c>
      <c r="X89" s="5" t="s">
        <v>453</v>
      </c>
      <c r="Y89" s="4">
        <v>187</v>
      </c>
      <c r="Z89" s="4">
        <v>167</v>
      </c>
      <c r="AA89" s="4">
        <v>169</v>
      </c>
      <c r="AB89" s="4">
        <v>3</v>
      </c>
      <c r="AC89" s="4">
        <v>3</v>
      </c>
      <c r="AD89" s="4">
        <v>6</v>
      </c>
      <c r="AE89" s="4">
        <v>6</v>
      </c>
      <c r="AF89" s="4">
        <v>1</v>
      </c>
      <c r="AG89" s="4">
        <v>1</v>
      </c>
      <c r="AH89" s="4">
        <v>1</v>
      </c>
      <c r="AI89" s="4">
        <v>1</v>
      </c>
      <c r="AJ89" s="4">
        <v>3</v>
      </c>
      <c r="AK89" s="4">
        <v>3</v>
      </c>
      <c r="AL89" s="4">
        <v>1</v>
      </c>
      <c r="AM89" s="4">
        <v>1</v>
      </c>
      <c r="AN89" s="4">
        <v>0</v>
      </c>
      <c r="AO89" s="4">
        <v>0</v>
      </c>
      <c r="AP89" s="3" t="s">
        <v>58</v>
      </c>
      <c r="AQ89" s="3" t="s">
        <v>68</v>
      </c>
      <c r="AR89" s="6" t="str">
        <f>HYPERLINK("http://catalog.hathitrust.org/Record/000103728","HathiTrust Record")</f>
        <v>HathiTrust Record</v>
      </c>
      <c r="AS89" s="6" t="str">
        <f>HYPERLINK("https://creighton-primo.hosted.exlibrisgroup.com/primo-explore/search?tab=default_tab&amp;search_scope=EVERYTHING&amp;vid=01CRU&amp;lang=en_US&amp;offset=0&amp;query=any,contains,991005195189702656","Catalog Record")</f>
        <v>Catalog Record</v>
      </c>
      <c r="AT89" s="6" t="str">
        <f>HYPERLINK("http://www.worldcat.org/oclc/8034646","WorldCat Record")</f>
        <v>WorldCat Record</v>
      </c>
      <c r="AU89" s="3" t="s">
        <v>1276</v>
      </c>
      <c r="AV89" s="3" t="s">
        <v>1277</v>
      </c>
      <c r="AW89" s="3" t="s">
        <v>1278</v>
      </c>
      <c r="AX89" s="3" t="s">
        <v>1278</v>
      </c>
      <c r="AY89" s="3" t="s">
        <v>1279</v>
      </c>
      <c r="AZ89" s="3" t="s">
        <v>73</v>
      </c>
      <c r="BB89" s="3" t="s">
        <v>1280</v>
      </c>
      <c r="BC89" s="3" t="s">
        <v>1281</v>
      </c>
      <c r="BD89" s="3" t="s">
        <v>1282</v>
      </c>
    </row>
    <row r="90" spans="1:56" ht="45" customHeight="1" x14ac:dyDescent="0.25">
      <c r="A90" s="8" t="s">
        <v>58</v>
      </c>
      <c r="B90" s="2" t="s">
        <v>1283</v>
      </c>
      <c r="C90" s="2" t="s">
        <v>1284</v>
      </c>
      <c r="D90" s="2" t="s">
        <v>1285</v>
      </c>
      <c r="F90" s="3" t="s">
        <v>58</v>
      </c>
      <c r="G90" s="3" t="s">
        <v>59</v>
      </c>
      <c r="H90" s="3" t="s">
        <v>58</v>
      </c>
      <c r="I90" s="3" t="s">
        <v>58</v>
      </c>
      <c r="J90" s="3" t="s">
        <v>60</v>
      </c>
      <c r="L90" s="2" t="s">
        <v>1286</v>
      </c>
      <c r="M90" s="3" t="s">
        <v>365</v>
      </c>
      <c r="O90" s="3" t="s">
        <v>64</v>
      </c>
      <c r="P90" s="3" t="s">
        <v>99</v>
      </c>
      <c r="R90" s="3" t="s">
        <v>66</v>
      </c>
      <c r="S90" s="4">
        <v>2</v>
      </c>
      <c r="T90" s="4">
        <v>2</v>
      </c>
      <c r="U90" s="5" t="s">
        <v>1287</v>
      </c>
      <c r="V90" s="5" t="s">
        <v>1287</v>
      </c>
      <c r="W90" s="5" t="s">
        <v>1288</v>
      </c>
      <c r="X90" s="5" t="s">
        <v>1288</v>
      </c>
      <c r="Y90" s="4">
        <v>259</v>
      </c>
      <c r="Z90" s="4">
        <v>212</v>
      </c>
      <c r="AA90" s="4">
        <v>214</v>
      </c>
      <c r="AB90" s="4">
        <v>3</v>
      </c>
      <c r="AC90" s="4">
        <v>3</v>
      </c>
      <c r="AD90" s="4">
        <v>8</v>
      </c>
      <c r="AE90" s="4">
        <v>8</v>
      </c>
      <c r="AF90" s="4">
        <v>1</v>
      </c>
      <c r="AG90" s="4">
        <v>1</v>
      </c>
      <c r="AH90" s="4">
        <v>0</v>
      </c>
      <c r="AI90" s="4">
        <v>0</v>
      </c>
      <c r="AJ90" s="4">
        <v>5</v>
      </c>
      <c r="AK90" s="4">
        <v>5</v>
      </c>
      <c r="AL90" s="4">
        <v>2</v>
      </c>
      <c r="AM90" s="4">
        <v>2</v>
      </c>
      <c r="AN90" s="4">
        <v>0</v>
      </c>
      <c r="AO90" s="4">
        <v>0</v>
      </c>
      <c r="AP90" s="3" t="s">
        <v>58</v>
      </c>
      <c r="AQ90" s="3" t="s">
        <v>68</v>
      </c>
      <c r="AR90" s="6" t="str">
        <f>HYPERLINK("http://catalog.hathitrust.org/Record/001570133","HathiTrust Record")</f>
        <v>HathiTrust Record</v>
      </c>
      <c r="AS90" s="6" t="str">
        <f>HYPERLINK("https://creighton-primo.hosted.exlibrisgroup.com/primo-explore/search?tab=default_tab&amp;search_scope=EVERYTHING&amp;vid=01CRU&amp;lang=en_US&amp;offset=0&amp;query=any,contains,991000546359702656","Catalog Record")</f>
        <v>Catalog Record</v>
      </c>
      <c r="AT90" s="6" t="str">
        <f>HYPERLINK("http://www.worldcat.org/oclc/91499","WorldCat Record")</f>
        <v>WorldCat Record</v>
      </c>
      <c r="AU90" s="3" t="s">
        <v>1289</v>
      </c>
      <c r="AV90" s="3" t="s">
        <v>1290</v>
      </c>
      <c r="AW90" s="3" t="s">
        <v>1291</v>
      </c>
      <c r="AX90" s="3" t="s">
        <v>1291</v>
      </c>
      <c r="AY90" s="3" t="s">
        <v>1292</v>
      </c>
      <c r="AZ90" s="3" t="s">
        <v>73</v>
      </c>
      <c r="BC90" s="3" t="s">
        <v>1293</v>
      </c>
      <c r="BD90" s="3" t="s">
        <v>1294</v>
      </c>
    </row>
    <row r="91" spans="1:56" ht="45" customHeight="1" x14ac:dyDescent="0.25">
      <c r="A91" s="8" t="s">
        <v>58</v>
      </c>
      <c r="B91" s="2" t="s">
        <v>1295</v>
      </c>
      <c r="C91" s="2" t="s">
        <v>1296</v>
      </c>
      <c r="D91" s="2" t="s">
        <v>1297</v>
      </c>
      <c r="F91" s="3" t="s">
        <v>58</v>
      </c>
      <c r="G91" s="3" t="s">
        <v>59</v>
      </c>
      <c r="H91" s="3" t="s">
        <v>58</v>
      </c>
      <c r="I91" s="3" t="s">
        <v>58</v>
      </c>
      <c r="J91" s="3" t="s">
        <v>60</v>
      </c>
      <c r="K91" s="2" t="s">
        <v>1298</v>
      </c>
      <c r="L91" s="2" t="s">
        <v>1299</v>
      </c>
      <c r="M91" s="3" t="s">
        <v>1300</v>
      </c>
      <c r="O91" s="3" t="s">
        <v>64</v>
      </c>
      <c r="P91" s="3" t="s">
        <v>114</v>
      </c>
      <c r="Q91" s="2" t="s">
        <v>1301</v>
      </c>
      <c r="R91" s="3" t="s">
        <v>66</v>
      </c>
      <c r="S91" s="4">
        <v>1</v>
      </c>
      <c r="T91" s="4">
        <v>1</v>
      </c>
      <c r="U91" s="5" t="s">
        <v>1302</v>
      </c>
      <c r="V91" s="5" t="s">
        <v>1302</v>
      </c>
      <c r="W91" s="5" t="s">
        <v>1303</v>
      </c>
      <c r="X91" s="5" t="s">
        <v>1303</v>
      </c>
      <c r="Y91" s="4">
        <v>438</v>
      </c>
      <c r="Z91" s="4">
        <v>273</v>
      </c>
      <c r="AA91" s="4">
        <v>908</v>
      </c>
      <c r="AB91" s="4">
        <v>3</v>
      </c>
      <c r="AC91" s="4">
        <v>16</v>
      </c>
      <c r="AD91" s="4">
        <v>20</v>
      </c>
      <c r="AE91" s="4">
        <v>47</v>
      </c>
      <c r="AF91" s="4">
        <v>7</v>
      </c>
      <c r="AG91" s="4">
        <v>15</v>
      </c>
      <c r="AH91" s="4">
        <v>2</v>
      </c>
      <c r="AI91" s="4">
        <v>8</v>
      </c>
      <c r="AJ91" s="4">
        <v>7</v>
      </c>
      <c r="AK91" s="4">
        <v>14</v>
      </c>
      <c r="AL91" s="4">
        <v>2</v>
      </c>
      <c r="AM91" s="4">
        <v>11</v>
      </c>
      <c r="AN91" s="4">
        <v>6</v>
      </c>
      <c r="AO91" s="4">
        <v>7</v>
      </c>
      <c r="AP91" s="3" t="s">
        <v>58</v>
      </c>
      <c r="AQ91" s="3" t="s">
        <v>58</v>
      </c>
      <c r="AS91" s="6" t="str">
        <f>HYPERLINK("https://creighton-primo.hosted.exlibrisgroup.com/primo-explore/search?tab=default_tab&amp;search_scope=EVERYTHING&amp;vid=01CRU&amp;lang=en_US&amp;offset=0&amp;query=any,contains,991005193329702656","Catalog Record")</f>
        <v>Catalog Record</v>
      </c>
      <c r="AT91" s="6" t="str">
        <f>HYPERLINK("http://www.worldcat.org/oclc/62118380","WorldCat Record")</f>
        <v>WorldCat Record</v>
      </c>
      <c r="AU91" s="3" t="s">
        <v>1304</v>
      </c>
      <c r="AV91" s="3" t="s">
        <v>1305</v>
      </c>
      <c r="AW91" s="3" t="s">
        <v>1306</v>
      </c>
      <c r="AX91" s="3" t="s">
        <v>1306</v>
      </c>
      <c r="AY91" s="3" t="s">
        <v>1307</v>
      </c>
      <c r="AZ91" s="3" t="s">
        <v>73</v>
      </c>
      <c r="BB91" s="3" t="s">
        <v>1308</v>
      </c>
      <c r="BC91" s="3" t="s">
        <v>1309</v>
      </c>
      <c r="BD91" s="3" t="s">
        <v>1310</v>
      </c>
    </row>
    <row r="92" spans="1:56" ht="45" customHeight="1" x14ac:dyDescent="0.25">
      <c r="A92" s="8" t="s">
        <v>58</v>
      </c>
      <c r="B92" s="2" t="s">
        <v>1311</v>
      </c>
      <c r="C92" s="2" t="s">
        <v>1312</v>
      </c>
      <c r="D92" s="2" t="s">
        <v>1313</v>
      </c>
      <c r="F92" s="3" t="s">
        <v>58</v>
      </c>
      <c r="G92" s="3" t="s">
        <v>59</v>
      </c>
      <c r="H92" s="3" t="s">
        <v>58</v>
      </c>
      <c r="I92" s="3" t="s">
        <v>58</v>
      </c>
      <c r="J92" s="3" t="s">
        <v>60</v>
      </c>
      <c r="K92" s="2" t="s">
        <v>1314</v>
      </c>
      <c r="L92" s="2" t="s">
        <v>1315</v>
      </c>
      <c r="M92" s="3" t="s">
        <v>249</v>
      </c>
      <c r="O92" s="3" t="s">
        <v>64</v>
      </c>
      <c r="P92" s="3" t="s">
        <v>250</v>
      </c>
      <c r="R92" s="3" t="s">
        <v>66</v>
      </c>
      <c r="S92" s="4">
        <v>9</v>
      </c>
      <c r="T92" s="4">
        <v>9</v>
      </c>
      <c r="U92" s="5" t="s">
        <v>1316</v>
      </c>
      <c r="V92" s="5" t="s">
        <v>1316</v>
      </c>
      <c r="W92" s="5" t="s">
        <v>1317</v>
      </c>
      <c r="X92" s="5" t="s">
        <v>1317</v>
      </c>
      <c r="Y92" s="4">
        <v>1019</v>
      </c>
      <c r="Z92" s="4">
        <v>856</v>
      </c>
      <c r="AA92" s="4">
        <v>1052</v>
      </c>
      <c r="AB92" s="4">
        <v>7</v>
      </c>
      <c r="AC92" s="4">
        <v>8</v>
      </c>
      <c r="AD92" s="4">
        <v>30</v>
      </c>
      <c r="AE92" s="4">
        <v>37</v>
      </c>
      <c r="AF92" s="4">
        <v>11</v>
      </c>
      <c r="AG92" s="4">
        <v>15</v>
      </c>
      <c r="AH92" s="4">
        <v>6</v>
      </c>
      <c r="AI92" s="4">
        <v>9</v>
      </c>
      <c r="AJ92" s="4">
        <v>16</v>
      </c>
      <c r="AK92" s="4">
        <v>17</v>
      </c>
      <c r="AL92" s="4">
        <v>5</v>
      </c>
      <c r="AM92" s="4">
        <v>6</v>
      </c>
      <c r="AN92" s="4">
        <v>0</v>
      </c>
      <c r="AO92" s="4">
        <v>0</v>
      </c>
      <c r="AP92" s="3" t="s">
        <v>58</v>
      </c>
      <c r="AQ92" s="3" t="s">
        <v>58</v>
      </c>
      <c r="AS92" s="6" t="str">
        <f>HYPERLINK("https://creighton-primo.hosted.exlibrisgroup.com/primo-explore/search?tab=default_tab&amp;search_scope=EVERYTHING&amp;vid=01CRU&amp;lang=en_US&amp;offset=0&amp;query=any,contains,991005265089702656","Catalog Record")</f>
        <v>Catalog Record</v>
      </c>
      <c r="AT92" s="6" t="str">
        <f>HYPERLINK("http://www.worldcat.org/oclc/3480475","WorldCat Record")</f>
        <v>WorldCat Record</v>
      </c>
      <c r="AU92" s="3" t="s">
        <v>1318</v>
      </c>
      <c r="AV92" s="3" t="s">
        <v>1319</v>
      </c>
      <c r="AW92" s="3" t="s">
        <v>1320</v>
      </c>
      <c r="AX92" s="3" t="s">
        <v>1320</v>
      </c>
      <c r="AY92" s="3" t="s">
        <v>1321</v>
      </c>
      <c r="AZ92" s="3" t="s">
        <v>73</v>
      </c>
      <c r="BB92" s="3" t="s">
        <v>1322</v>
      </c>
      <c r="BC92" s="3" t="s">
        <v>1323</v>
      </c>
      <c r="BD92" s="3" t="s">
        <v>1324</v>
      </c>
    </row>
    <row r="93" spans="1:56" ht="45" customHeight="1" x14ac:dyDescent="0.25">
      <c r="A93" s="8" t="s">
        <v>58</v>
      </c>
      <c r="B93" s="2" t="s">
        <v>1325</v>
      </c>
      <c r="C93" s="2" t="s">
        <v>1326</v>
      </c>
      <c r="D93" s="2" t="s">
        <v>1327</v>
      </c>
      <c r="F93" s="3" t="s">
        <v>58</v>
      </c>
      <c r="G93" s="3" t="s">
        <v>59</v>
      </c>
      <c r="H93" s="3" t="s">
        <v>58</v>
      </c>
      <c r="I93" s="3" t="s">
        <v>58</v>
      </c>
      <c r="J93" s="3" t="s">
        <v>60</v>
      </c>
      <c r="L93" s="2" t="s">
        <v>1328</v>
      </c>
      <c r="M93" s="3" t="s">
        <v>306</v>
      </c>
      <c r="O93" s="3" t="s">
        <v>64</v>
      </c>
      <c r="P93" s="3" t="s">
        <v>114</v>
      </c>
      <c r="R93" s="3" t="s">
        <v>66</v>
      </c>
      <c r="S93" s="4">
        <v>4</v>
      </c>
      <c r="T93" s="4">
        <v>4</v>
      </c>
      <c r="U93" s="5" t="s">
        <v>1329</v>
      </c>
      <c r="V93" s="5" t="s">
        <v>1329</v>
      </c>
      <c r="W93" s="5" t="s">
        <v>1330</v>
      </c>
      <c r="X93" s="5" t="s">
        <v>1330</v>
      </c>
      <c r="Y93" s="4">
        <v>468</v>
      </c>
      <c r="Z93" s="4">
        <v>307</v>
      </c>
      <c r="AA93" s="4">
        <v>312</v>
      </c>
      <c r="AB93" s="4">
        <v>5</v>
      </c>
      <c r="AC93" s="4">
        <v>5</v>
      </c>
      <c r="AD93" s="4">
        <v>14</v>
      </c>
      <c r="AE93" s="4">
        <v>14</v>
      </c>
      <c r="AF93" s="4">
        <v>2</v>
      </c>
      <c r="AG93" s="4">
        <v>2</v>
      </c>
      <c r="AH93" s="4">
        <v>3</v>
      </c>
      <c r="AI93" s="4">
        <v>3</v>
      </c>
      <c r="AJ93" s="4">
        <v>7</v>
      </c>
      <c r="AK93" s="4">
        <v>7</v>
      </c>
      <c r="AL93" s="4">
        <v>3</v>
      </c>
      <c r="AM93" s="4">
        <v>3</v>
      </c>
      <c r="AN93" s="4">
        <v>0</v>
      </c>
      <c r="AO93" s="4">
        <v>0</v>
      </c>
      <c r="AP93" s="3" t="s">
        <v>58</v>
      </c>
      <c r="AQ93" s="3" t="s">
        <v>58</v>
      </c>
      <c r="AS93" s="6" t="str">
        <f>HYPERLINK("https://creighton-primo.hosted.exlibrisgroup.com/primo-explore/search?tab=default_tab&amp;search_scope=EVERYTHING&amp;vid=01CRU&amp;lang=en_US&amp;offset=0&amp;query=any,contains,991003652689702656","Catalog Record")</f>
        <v>Catalog Record</v>
      </c>
      <c r="AT93" s="6" t="str">
        <f>HYPERLINK("http://www.worldcat.org/oclc/1256191","WorldCat Record")</f>
        <v>WorldCat Record</v>
      </c>
      <c r="AU93" s="3" t="s">
        <v>1331</v>
      </c>
      <c r="AV93" s="3" t="s">
        <v>1332</v>
      </c>
      <c r="AW93" s="3" t="s">
        <v>1333</v>
      </c>
      <c r="AX93" s="3" t="s">
        <v>1333</v>
      </c>
      <c r="AY93" s="3" t="s">
        <v>1334</v>
      </c>
      <c r="AZ93" s="3" t="s">
        <v>73</v>
      </c>
      <c r="BB93" s="3" t="s">
        <v>1335</v>
      </c>
      <c r="BC93" s="3" t="s">
        <v>1336</v>
      </c>
      <c r="BD93" s="3" t="s">
        <v>1337</v>
      </c>
    </row>
    <row r="94" spans="1:56" ht="45" customHeight="1" x14ac:dyDescent="0.25">
      <c r="A94" s="8" t="s">
        <v>58</v>
      </c>
      <c r="B94" s="2" t="s">
        <v>1338</v>
      </c>
      <c r="C94" s="2" t="s">
        <v>1339</v>
      </c>
      <c r="D94" s="2" t="s">
        <v>1340</v>
      </c>
      <c r="F94" s="3" t="s">
        <v>58</v>
      </c>
      <c r="G94" s="3" t="s">
        <v>59</v>
      </c>
      <c r="H94" s="3" t="s">
        <v>68</v>
      </c>
      <c r="I94" s="3" t="s">
        <v>58</v>
      </c>
      <c r="J94" s="3" t="s">
        <v>60</v>
      </c>
      <c r="L94" s="2" t="s">
        <v>1341</v>
      </c>
      <c r="M94" s="3" t="s">
        <v>249</v>
      </c>
      <c r="O94" s="3" t="s">
        <v>64</v>
      </c>
      <c r="P94" s="3" t="s">
        <v>984</v>
      </c>
      <c r="R94" s="3" t="s">
        <v>66</v>
      </c>
      <c r="S94" s="4">
        <v>10</v>
      </c>
      <c r="T94" s="4">
        <v>15</v>
      </c>
      <c r="U94" s="5" t="s">
        <v>1342</v>
      </c>
      <c r="V94" s="5" t="s">
        <v>1343</v>
      </c>
      <c r="W94" s="5" t="s">
        <v>1344</v>
      </c>
      <c r="X94" s="5" t="s">
        <v>1344</v>
      </c>
      <c r="Y94" s="4">
        <v>387</v>
      </c>
      <c r="Z94" s="4">
        <v>321</v>
      </c>
      <c r="AA94" s="4">
        <v>328</v>
      </c>
      <c r="AB94" s="4">
        <v>5</v>
      </c>
      <c r="AC94" s="4">
        <v>5</v>
      </c>
      <c r="AD94" s="4">
        <v>12</v>
      </c>
      <c r="AE94" s="4">
        <v>12</v>
      </c>
      <c r="AF94" s="4">
        <v>4</v>
      </c>
      <c r="AG94" s="4">
        <v>4</v>
      </c>
      <c r="AH94" s="4">
        <v>1</v>
      </c>
      <c r="AI94" s="4">
        <v>1</v>
      </c>
      <c r="AJ94" s="4">
        <v>5</v>
      </c>
      <c r="AK94" s="4">
        <v>5</v>
      </c>
      <c r="AL94" s="4">
        <v>2</v>
      </c>
      <c r="AM94" s="4">
        <v>2</v>
      </c>
      <c r="AN94" s="4">
        <v>0</v>
      </c>
      <c r="AO94" s="4">
        <v>0</v>
      </c>
      <c r="AP94" s="3" t="s">
        <v>58</v>
      </c>
      <c r="AQ94" s="3" t="s">
        <v>68</v>
      </c>
      <c r="AR94" s="6" t="str">
        <f>HYPERLINK("http://catalog.hathitrust.org/Record/000688972","HathiTrust Record")</f>
        <v>HathiTrust Record</v>
      </c>
      <c r="AS94" s="6" t="str">
        <f>HYPERLINK("https://creighton-primo.hosted.exlibrisgroup.com/primo-explore/search?tab=default_tab&amp;search_scope=EVERYTHING&amp;vid=01CRU&amp;lang=en_US&amp;offset=0&amp;query=any,contains,991001757859702656","Catalog Record")</f>
        <v>Catalog Record</v>
      </c>
      <c r="AT94" s="6" t="str">
        <f>HYPERLINK("http://www.worldcat.org/oclc/4003510","WorldCat Record")</f>
        <v>WorldCat Record</v>
      </c>
      <c r="AU94" s="3" t="s">
        <v>1345</v>
      </c>
      <c r="AV94" s="3" t="s">
        <v>1346</v>
      </c>
      <c r="AW94" s="3" t="s">
        <v>1347</v>
      </c>
      <c r="AX94" s="3" t="s">
        <v>1347</v>
      </c>
      <c r="AY94" s="3" t="s">
        <v>1348</v>
      </c>
      <c r="AZ94" s="3" t="s">
        <v>73</v>
      </c>
      <c r="BB94" s="3" t="s">
        <v>1349</v>
      </c>
      <c r="BC94" s="3" t="s">
        <v>1350</v>
      </c>
      <c r="BD94" s="3" t="s">
        <v>1351</v>
      </c>
    </row>
    <row r="95" spans="1:56" ht="45" customHeight="1" x14ac:dyDescent="0.25">
      <c r="A95" s="8" t="s">
        <v>58</v>
      </c>
      <c r="B95" s="2" t="s">
        <v>1352</v>
      </c>
      <c r="C95" s="2" t="s">
        <v>1353</v>
      </c>
      <c r="D95" s="2" t="s">
        <v>1354</v>
      </c>
      <c r="F95" s="3" t="s">
        <v>58</v>
      </c>
      <c r="G95" s="3" t="s">
        <v>59</v>
      </c>
      <c r="H95" s="3" t="s">
        <v>58</v>
      </c>
      <c r="I95" s="3" t="s">
        <v>58</v>
      </c>
      <c r="J95" s="3" t="s">
        <v>60</v>
      </c>
      <c r="L95" s="2" t="s">
        <v>1355</v>
      </c>
      <c r="M95" s="3" t="s">
        <v>681</v>
      </c>
      <c r="O95" s="3" t="s">
        <v>64</v>
      </c>
      <c r="P95" s="3" t="s">
        <v>177</v>
      </c>
      <c r="R95" s="3" t="s">
        <v>66</v>
      </c>
      <c r="S95" s="4">
        <v>5</v>
      </c>
      <c r="T95" s="4">
        <v>5</v>
      </c>
      <c r="U95" s="5" t="s">
        <v>1356</v>
      </c>
      <c r="V95" s="5" t="s">
        <v>1356</v>
      </c>
      <c r="W95" s="5" t="s">
        <v>904</v>
      </c>
      <c r="X95" s="5" t="s">
        <v>904</v>
      </c>
      <c r="Y95" s="4">
        <v>146</v>
      </c>
      <c r="Z95" s="4">
        <v>132</v>
      </c>
      <c r="AA95" s="4">
        <v>135</v>
      </c>
      <c r="AB95" s="4">
        <v>2</v>
      </c>
      <c r="AC95" s="4">
        <v>2</v>
      </c>
      <c r="AD95" s="4">
        <v>4</v>
      </c>
      <c r="AE95" s="4">
        <v>4</v>
      </c>
      <c r="AF95" s="4">
        <v>3</v>
      </c>
      <c r="AG95" s="4">
        <v>3</v>
      </c>
      <c r="AH95" s="4">
        <v>0</v>
      </c>
      <c r="AI95" s="4">
        <v>0</v>
      </c>
      <c r="AJ95" s="4">
        <v>2</v>
      </c>
      <c r="AK95" s="4">
        <v>2</v>
      </c>
      <c r="AL95" s="4">
        <v>0</v>
      </c>
      <c r="AM95" s="4">
        <v>0</v>
      </c>
      <c r="AN95" s="4">
        <v>0</v>
      </c>
      <c r="AO95" s="4">
        <v>0</v>
      </c>
      <c r="AP95" s="3" t="s">
        <v>58</v>
      </c>
      <c r="AQ95" s="3" t="s">
        <v>68</v>
      </c>
      <c r="AR95" s="6" t="str">
        <f>HYPERLINK("http://catalog.hathitrust.org/Record/000269748","HathiTrust Record")</f>
        <v>HathiTrust Record</v>
      </c>
      <c r="AS95" s="6" t="str">
        <f>HYPERLINK("https://creighton-primo.hosted.exlibrisgroup.com/primo-explore/search?tab=default_tab&amp;search_scope=EVERYTHING&amp;vid=01CRU&amp;lang=en_US&amp;offset=0&amp;query=any,contains,991000054209702656","Catalog Record")</f>
        <v>Catalog Record</v>
      </c>
      <c r="AT95" s="6" t="str">
        <f>HYPERLINK("http://www.worldcat.org/oclc/8708090","WorldCat Record")</f>
        <v>WorldCat Record</v>
      </c>
      <c r="AU95" s="3" t="s">
        <v>1357</v>
      </c>
      <c r="AV95" s="3" t="s">
        <v>1358</v>
      </c>
      <c r="AW95" s="3" t="s">
        <v>1359</v>
      </c>
      <c r="AX95" s="3" t="s">
        <v>1359</v>
      </c>
      <c r="AY95" s="3" t="s">
        <v>1360</v>
      </c>
      <c r="AZ95" s="3" t="s">
        <v>73</v>
      </c>
      <c r="BB95" s="3" t="s">
        <v>1361</v>
      </c>
      <c r="BC95" s="3" t="s">
        <v>1362</v>
      </c>
      <c r="BD95" s="3" t="s">
        <v>1363</v>
      </c>
    </row>
    <row r="96" spans="1:56" ht="45" customHeight="1" x14ac:dyDescent="0.25">
      <c r="A96" s="8" t="s">
        <v>58</v>
      </c>
      <c r="B96" s="2" t="s">
        <v>1364</v>
      </c>
      <c r="C96" s="2" t="s">
        <v>1365</v>
      </c>
      <c r="D96" s="2" t="s">
        <v>1366</v>
      </c>
      <c r="F96" s="3" t="s">
        <v>58</v>
      </c>
      <c r="G96" s="3" t="s">
        <v>59</v>
      </c>
      <c r="H96" s="3" t="s">
        <v>58</v>
      </c>
      <c r="I96" s="3" t="s">
        <v>58</v>
      </c>
      <c r="J96" s="3" t="s">
        <v>60</v>
      </c>
      <c r="L96" s="2" t="s">
        <v>1367</v>
      </c>
      <c r="M96" s="3" t="s">
        <v>580</v>
      </c>
      <c r="O96" s="3" t="s">
        <v>64</v>
      </c>
      <c r="P96" s="3" t="s">
        <v>177</v>
      </c>
      <c r="R96" s="3" t="s">
        <v>66</v>
      </c>
      <c r="S96" s="4">
        <v>4</v>
      </c>
      <c r="T96" s="4">
        <v>4</v>
      </c>
      <c r="U96" s="5" t="s">
        <v>1368</v>
      </c>
      <c r="V96" s="5" t="s">
        <v>1368</v>
      </c>
      <c r="W96" s="5" t="s">
        <v>1369</v>
      </c>
      <c r="X96" s="5" t="s">
        <v>1369</v>
      </c>
      <c r="Y96" s="4">
        <v>192</v>
      </c>
      <c r="Z96" s="4">
        <v>124</v>
      </c>
      <c r="AA96" s="4">
        <v>152</v>
      </c>
      <c r="AB96" s="4">
        <v>3</v>
      </c>
      <c r="AC96" s="4">
        <v>3</v>
      </c>
      <c r="AD96" s="4">
        <v>5</v>
      </c>
      <c r="AE96" s="4">
        <v>5</v>
      </c>
      <c r="AF96" s="4">
        <v>0</v>
      </c>
      <c r="AG96" s="4">
        <v>0</v>
      </c>
      <c r="AH96" s="4">
        <v>1</v>
      </c>
      <c r="AI96" s="4">
        <v>1</v>
      </c>
      <c r="AJ96" s="4">
        <v>2</v>
      </c>
      <c r="AK96" s="4">
        <v>2</v>
      </c>
      <c r="AL96" s="4">
        <v>2</v>
      </c>
      <c r="AM96" s="4">
        <v>2</v>
      </c>
      <c r="AN96" s="4">
        <v>0</v>
      </c>
      <c r="AO96" s="4">
        <v>0</v>
      </c>
      <c r="AP96" s="3" t="s">
        <v>58</v>
      </c>
      <c r="AQ96" s="3" t="s">
        <v>68</v>
      </c>
      <c r="AR96" s="6" t="str">
        <f>HYPERLINK("http://catalog.hathitrust.org/Record/001830449","HathiTrust Record")</f>
        <v>HathiTrust Record</v>
      </c>
      <c r="AS96" s="6" t="str">
        <f>HYPERLINK("https://creighton-primo.hosted.exlibrisgroup.com/primo-explore/search?tab=default_tab&amp;search_scope=EVERYTHING&amp;vid=01CRU&amp;lang=en_US&amp;offset=0&amp;query=any,contains,991001283349702656","Catalog Record")</f>
        <v>Catalog Record</v>
      </c>
      <c r="AT96" s="6" t="str">
        <f>HYPERLINK("http://www.worldcat.org/oclc/17951321","WorldCat Record")</f>
        <v>WorldCat Record</v>
      </c>
      <c r="AU96" s="3" t="s">
        <v>1370</v>
      </c>
      <c r="AV96" s="3" t="s">
        <v>1371</v>
      </c>
      <c r="AW96" s="3" t="s">
        <v>1372</v>
      </c>
      <c r="AX96" s="3" t="s">
        <v>1372</v>
      </c>
      <c r="AY96" s="3" t="s">
        <v>1373</v>
      </c>
      <c r="AZ96" s="3" t="s">
        <v>73</v>
      </c>
      <c r="BB96" s="3" t="s">
        <v>1374</v>
      </c>
      <c r="BC96" s="3" t="s">
        <v>1375</v>
      </c>
      <c r="BD96" s="3" t="s">
        <v>1376</v>
      </c>
    </row>
    <row r="97" spans="1:56" ht="45" customHeight="1" x14ac:dyDescent="0.25">
      <c r="A97" s="8" t="s">
        <v>58</v>
      </c>
      <c r="B97" s="2" t="s">
        <v>1377</v>
      </c>
      <c r="C97" s="2" t="s">
        <v>1378</v>
      </c>
      <c r="D97" s="2" t="s">
        <v>1379</v>
      </c>
      <c r="F97" s="3" t="s">
        <v>58</v>
      </c>
      <c r="G97" s="3" t="s">
        <v>59</v>
      </c>
      <c r="H97" s="3" t="s">
        <v>68</v>
      </c>
      <c r="I97" s="3" t="s">
        <v>58</v>
      </c>
      <c r="J97" s="3" t="s">
        <v>60</v>
      </c>
      <c r="K97" s="2" t="s">
        <v>1380</v>
      </c>
      <c r="L97" s="2" t="s">
        <v>1381</v>
      </c>
      <c r="M97" s="3" t="s">
        <v>494</v>
      </c>
      <c r="O97" s="3" t="s">
        <v>64</v>
      </c>
      <c r="P97" s="3" t="s">
        <v>177</v>
      </c>
      <c r="Q97" s="2" t="s">
        <v>1382</v>
      </c>
      <c r="R97" s="3" t="s">
        <v>66</v>
      </c>
      <c r="S97" s="4">
        <v>6</v>
      </c>
      <c r="T97" s="4">
        <v>10</v>
      </c>
      <c r="U97" s="5" t="s">
        <v>1383</v>
      </c>
      <c r="V97" s="5" t="s">
        <v>957</v>
      </c>
      <c r="W97" s="5" t="s">
        <v>1384</v>
      </c>
      <c r="X97" s="5" t="s">
        <v>1384</v>
      </c>
      <c r="Y97" s="4">
        <v>278</v>
      </c>
      <c r="Z97" s="4">
        <v>186</v>
      </c>
      <c r="AA97" s="4">
        <v>208</v>
      </c>
      <c r="AB97" s="4">
        <v>3</v>
      </c>
      <c r="AC97" s="4">
        <v>3</v>
      </c>
      <c r="AD97" s="4">
        <v>6</v>
      </c>
      <c r="AE97" s="4">
        <v>8</v>
      </c>
      <c r="AF97" s="4">
        <v>1</v>
      </c>
      <c r="AG97" s="4">
        <v>3</v>
      </c>
      <c r="AH97" s="4">
        <v>2</v>
      </c>
      <c r="AI97" s="4">
        <v>2</v>
      </c>
      <c r="AJ97" s="4">
        <v>5</v>
      </c>
      <c r="AK97" s="4">
        <v>6</v>
      </c>
      <c r="AL97" s="4">
        <v>1</v>
      </c>
      <c r="AM97" s="4">
        <v>1</v>
      </c>
      <c r="AN97" s="4">
        <v>0</v>
      </c>
      <c r="AO97" s="4">
        <v>0</v>
      </c>
      <c r="AP97" s="3" t="s">
        <v>58</v>
      </c>
      <c r="AQ97" s="3" t="s">
        <v>68</v>
      </c>
      <c r="AR97" s="6" t="str">
        <f>HYPERLINK("http://catalog.hathitrust.org/Record/000610483","HathiTrust Record")</f>
        <v>HathiTrust Record</v>
      </c>
      <c r="AS97" s="6" t="str">
        <f>HYPERLINK("https://creighton-primo.hosted.exlibrisgroup.com/primo-explore/search?tab=default_tab&amp;search_scope=EVERYTHING&amp;vid=01CRU&amp;lang=en_US&amp;offset=0&amp;query=any,contains,991001785199702656","Catalog Record")</f>
        <v>Catalog Record</v>
      </c>
      <c r="AT97" s="6" t="str">
        <f>HYPERLINK("http://www.worldcat.org/oclc/11370157","WorldCat Record")</f>
        <v>WorldCat Record</v>
      </c>
      <c r="AU97" s="3" t="s">
        <v>1385</v>
      </c>
      <c r="AV97" s="3" t="s">
        <v>1386</v>
      </c>
      <c r="AW97" s="3" t="s">
        <v>1387</v>
      </c>
      <c r="AX97" s="3" t="s">
        <v>1387</v>
      </c>
      <c r="AY97" s="3" t="s">
        <v>1388</v>
      </c>
      <c r="AZ97" s="3" t="s">
        <v>73</v>
      </c>
      <c r="BB97" s="3" t="s">
        <v>1389</v>
      </c>
      <c r="BC97" s="3" t="s">
        <v>1390</v>
      </c>
      <c r="BD97" s="3" t="s">
        <v>1391</v>
      </c>
    </row>
    <row r="98" spans="1:56" ht="45" customHeight="1" x14ac:dyDescent="0.25">
      <c r="A98" s="8" t="s">
        <v>58</v>
      </c>
      <c r="B98" s="2" t="s">
        <v>1392</v>
      </c>
      <c r="C98" s="2" t="s">
        <v>1393</v>
      </c>
      <c r="D98" s="2" t="s">
        <v>1394</v>
      </c>
      <c r="F98" s="3" t="s">
        <v>58</v>
      </c>
      <c r="G98" s="3" t="s">
        <v>59</v>
      </c>
      <c r="H98" s="3" t="s">
        <v>68</v>
      </c>
      <c r="I98" s="3" t="s">
        <v>58</v>
      </c>
      <c r="J98" s="3" t="s">
        <v>60</v>
      </c>
      <c r="K98" s="2" t="s">
        <v>1395</v>
      </c>
      <c r="L98" s="2" t="s">
        <v>1396</v>
      </c>
      <c r="M98" s="3" t="s">
        <v>249</v>
      </c>
      <c r="O98" s="3" t="s">
        <v>64</v>
      </c>
      <c r="P98" s="3" t="s">
        <v>177</v>
      </c>
      <c r="R98" s="3" t="s">
        <v>66</v>
      </c>
      <c r="S98" s="4">
        <v>7</v>
      </c>
      <c r="T98" s="4">
        <v>9</v>
      </c>
      <c r="U98" s="5" t="s">
        <v>1329</v>
      </c>
      <c r="V98" s="5" t="s">
        <v>1329</v>
      </c>
      <c r="W98" s="5" t="s">
        <v>1397</v>
      </c>
      <c r="X98" s="5" t="s">
        <v>1397</v>
      </c>
      <c r="Y98" s="4">
        <v>421</v>
      </c>
      <c r="Z98" s="4">
        <v>324</v>
      </c>
      <c r="AA98" s="4">
        <v>333</v>
      </c>
      <c r="AB98" s="4">
        <v>3</v>
      </c>
      <c r="AC98" s="4">
        <v>3</v>
      </c>
      <c r="AD98" s="4">
        <v>12</v>
      </c>
      <c r="AE98" s="4">
        <v>12</v>
      </c>
      <c r="AF98" s="4">
        <v>4</v>
      </c>
      <c r="AG98" s="4">
        <v>4</v>
      </c>
      <c r="AH98" s="4">
        <v>3</v>
      </c>
      <c r="AI98" s="4">
        <v>3</v>
      </c>
      <c r="AJ98" s="4">
        <v>6</v>
      </c>
      <c r="AK98" s="4">
        <v>6</v>
      </c>
      <c r="AL98" s="4">
        <v>1</v>
      </c>
      <c r="AM98" s="4">
        <v>1</v>
      </c>
      <c r="AN98" s="4">
        <v>0</v>
      </c>
      <c r="AO98" s="4">
        <v>0</v>
      </c>
      <c r="AP98" s="3" t="s">
        <v>58</v>
      </c>
      <c r="AQ98" s="3" t="s">
        <v>68</v>
      </c>
      <c r="AR98" s="6" t="str">
        <f>HYPERLINK("http://catalog.hathitrust.org/Record/000294655","HathiTrust Record")</f>
        <v>HathiTrust Record</v>
      </c>
      <c r="AS98" s="6" t="str">
        <f>HYPERLINK("https://creighton-primo.hosted.exlibrisgroup.com/primo-explore/search?tab=default_tab&amp;search_scope=EVERYTHING&amp;vid=01CRU&amp;lang=en_US&amp;offset=0&amp;query=any,contains,991001787789702656","Catalog Record")</f>
        <v>Catalog Record</v>
      </c>
      <c r="AT98" s="6" t="str">
        <f>HYPERLINK("http://www.worldcat.org/oclc/3202905","WorldCat Record")</f>
        <v>WorldCat Record</v>
      </c>
      <c r="AU98" s="3" t="s">
        <v>1398</v>
      </c>
      <c r="AV98" s="3" t="s">
        <v>1399</v>
      </c>
      <c r="AW98" s="3" t="s">
        <v>1400</v>
      </c>
      <c r="AX98" s="3" t="s">
        <v>1400</v>
      </c>
      <c r="AY98" s="3" t="s">
        <v>1401</v>
      </c>
      <c r="AZ98" s="3" t="s">
        <v>73</v>
      </c>
      <c r="BB98" s="3" t="s">
        <v>1402</v>
      </c>
      <c r="BC98" s="3" t="s">
        <v>1403</v>
      </c>
      <c r="BD98" s="3" t="s">
        <v>1404</v>
      </c>
    </row>
    <row r="99" spans="1:56" ht="45" customHeight="1" x14ac:dyDescent="0.25">
      <c r="A99" s="8" t="s">
        <v>58</v>
      </c>
      <c r="B99" s="2" t="s">
        <v>1405</v>
      </c>
      <c r="C99" s="2" t="s">
        <v>1406</v>
      </c>
      <c r="D99" s="2" t="s">
        <v>1407</v>
      </c>
      <c r="F99" s="3" t="s">
        <v>58</v>
      </c>
      <c r="G99" s="3" t="s">
        <v>59</v>
      </c>
      <c r="H99" s="3" t="s">
        <v>68</v>
      </c>
      <c r="I99" s="3" t="s">
        <v>58</v>
      </c>
      <c r="J99" s="3" t="s">
        <v>60</v>
      </c>
      <c r="L99" s="2" t="s">
        <v>1408</v>
      </c>
      <c r="M99" s="3" t="s">
        <v>681</v>
      </c>
      <c r="O99" s="3" t="s">
        <v>64</v>
      </c>
      <c r="P99" s="3" t="s">
        <v>177</v>
      </c>
      <c r="Q99" s="2" t="s">
        <v>1409</v>
      </c>
      <c r="R99" s="3" t="s">
        <v>66</v>
      </c>
      <c r="S99" s="4">
        <v>2</v>
      </c>
      <c r="T99" s="4">
        <v>2</v>
      </c>
      <c r="U99" s="5" t="s">
        <v>1410</v>
      </c>
      <c r="V99" s="5" t="s">
        <v>1410</v>
      </c>
      <c r="W99" s="5" t="s">
        <v>252</v>
      </c>
      <c r="X99" s="5" t="s">
        <v>252</v>
      </c>
      <c r="Y99" s="4">
        <v>187</v>
      </c>
      <c r="Z99" s="4">
        <v>153</v>
      </c>
      <c r="AA99" s="4">
        <v>156</v>
      </c>
      <c r="AB99" s="4">
        <v>2</v>
      </c>
      <c r="AC99" s="4">
        <v>2</v>
      </c>
      <c r="AD99" s="4">
        <v>6</v>
      </c>
      <c r="AE99" s="4">
        <v>6</v>
      </c>
      <c r="AF99" s="4">
        <v>3</v>
      </c>
      <c r="AG99" s="4">
        <v>3</v>
      </c>
      <c r="AH99" s="4">
        <v>2</v>
      </c>
      <c r="AI99" s="4">
        <v>2</v>
      </c>
      <c r="AJ99" s="4">
        <v>4</v>
      </c>
      <c r="AK99" s="4">
        <v>4</v>
      </c>
      <c r="AL99" s="4">
        <v>0</v>
      </c>
      <c r="AM99" s="4">
        <v>0</v>
      </c>
      <c r="AN99" s="4">
        <v>0</v>
      </c>
      <c r="AO99" s="4">
        <v>0</v>
      </c>
      <c r="AP99" s="3" t="s">
        <v>58</v>
      </c>
      <c r="AQ99" s="3" t="s">
        <v>68</v>
      </c>
      <c r="AR99" s="6" t="str">
        <f>HYPERLINK("http://catalog.hathitrust.org/Record/000283584","HathiTrust Record")</f>
        <v>HathiTrust Record</v>
      </c>
      <c r="AS99" s="6" t="str">
        <f>HYPERLINK("https://creighton-primo.hosted.exlibrisgroup.com/primo-explore/search?tab=default_tab&amp;search_scope=EVERYTHING&amp;vid=01CRU&amp;lang=en_US&amp;offset=0&amp;query=any,contains,991000068119702656","Catalog Record")</f>
        <v>Catalog Record</v>
      </c>
      <c r="AT99" s="6" t="str">
        <f>HYPERLINK("http://www.worldcat.org/oclc/8765047","WorldCat Record")</f>
        <v>WorldCat Record</v>
      </c>
      <c r="AU99" s="3" t="s">
        <v>1411</v>
      </c>
      <c r="AV99" s="3" t="s">
        <v>1412</v>
      </c>
      <c r="AW99" s="3" t="s">
        <v>1413</v>
      </c>
      <c r="AX99" s="3" t="s">
        <v>1413</v>
      </c>
      <c r="AY99" s="3" t="s">
        <v>1414</v>
      </c>
      <c r="AZ99" s="3" t="s">
        <v>73</v>
      </c>
      <c r="BB99" s="3" t="s">
        <v>1415</v>
      </c>
      <c r="BC99" s="3" t="s">
        <v>1416</v>
      </c>
      <c r="BD99" s="3" t="s">
        <v>1417</v>
      </c>
    </row>
    <row r="100" spans="1:56" ht="45" customHeight="1" x14ac:dyDescent="0.25">
      <c r="A100" s="8" t="s">
        <v>58</v>
      </c>
      <c r="B100" s="2" t="s">
        <v>1418</v>
      </c>
      <c r="C100" s="2" t="s">
        <v>1419</v>
      </c>
      <c r="D100" s="2" t="s">
        <v>1420</v>
      </c>
      <c r="E100" s="3" t="s">
        <v>550</v>
      </c>
      <c r="F100" s="3" t="s">
        <v>68</v>
      </c>
      <c r="G100" s="3" t="s">
        <v>59</v>
      </c>
      <c r="H100" s="3" t="s">
        <v>58</v>
      </c>
      <c r="I100" s="3" t="s">
        <v>58</v>
      </c>
      <c r="J100" s="3" t="s">
        <v>60</v>
      </c>
      <c r="L100" s="2" t="s">
        <v>1421</v>
      </c>
      <c r="M100" s="3" t="s">
        <v>249</v>
      </c>
      <c r="O100" s="3" t="s">
        <v>64</v>
      </c>
      <c r="P100" s="3" t="s">
        <v>191</v>
      </c>
      <c r="R100" s="3" t="s">
        <v>66</v>
      </c>
      <c r="S100" s="4">
        <v>3</v>
      </c>
      <c r="T100" s="4">
        <v>6</v>
      </c>
      <c r="U100" s="5" t="s">
        <v>1422</v>
      </c>
      <c r="V100" s="5" t="s">
        <v>84</v>
      </c>
      <c r="W100" s="5" t="s">
        <v>1384</v>
      </c>
      <c r="X100" s="5" t="s">
        <v>1423</v>
      </c>
      <c r="Y100" s="4">
        <v>300</v>
      </c>
      <c r="Z100" s="4">
        <v>244</v>
      </c>
      <c r="AA100" s="4">
        <v>246</v>
      </c>
      <c r="AB100" s="4">
        <v>2</v>
      </c>
      <c r="AC100" s="4">
        <v>2</v>
      </c>
      <c r="AD100" s="4">
        <v>8</v>
      </c>
      <c r="AE100" s="4">
        <v>8</v>
      </c>
      <c r="AF100" s="4">
        <v>3</v>
      </c>
      <c r="AG100" s="4">
        <v>3</v>
      </c>
      <c r="AH100" s="4">
        <v>1</v>
      </c>
      <c r="AI100" s="4">
        <v>1</v>
      </c>
      <c r="AJ100" s="4">
        <v>6</v>
      </c>
      <c r="AK100" s="4">
        <v>6</v>
      </c>
      <c r="AL100" s="4">
        <v>1</v>
      </c>
      <c r="AM100" s="4">
        <v>1</v>
      </c>
      <c r="AN100" s="4">
        <v>0</v>
      </c>
      <c r="AO100" s="4">
        <v>0</v>
      </c>
      <c r="AP100" s="3" t="s">
        <v>58</v>
      </c>
      <c r="AQ100" s="3" t="s">
        <v>68</v>
      </c>
      <c r="AR100" s="6" t="str">
        <f>HYPERLINK("http://catalog.hathitrust.org/Record/000025914","HathiTrust Record")</f>
        <v>HathiTrust Record</v>
      </c>
      <c r="AS100" s="6" t="str">
        <f>HYPERLINK("https://creighton-primo.hosted.exlibrisgroup.com/primo-explore/search?tab=default_tab&amp;search_scope=EVERYTHING&amp;vid=01CRU&amp;lang=en_US&amp;offset=0&amp;query=any,contains,991004508099702656","Catalog Record")</f>
        <v>Catalog Record</v>
      </c>
      <c r="AT100" s="6" t="str">
        <f>HYPERLINK("http://www.worldcat.org/oclc/3748680","WorldCat Record")</f>
        <v>WorldCat Record</v>
      </c>
      <c r="AU100" s="3" t="s">
        <v>1424</v>
      </c>
      <c r="AV100" s="3" t="s">
        <v>1425</v>
      </c>
      <c r="AW100" s="3" t="s">
        <v>1426</v>
      </c>
      <c r="AX100" s="3" t="s">
        <v>1426</v>
      </c>
      <c r="AY100" s="3" t="s">
        <v>1427</v>
      </c>
      <c r="AZ100" s="3" t="s">
        <v>73</v>
      </c>
      <c r="BB100" s="3" t="s">
        <v>1428</v>
      </c>
      <c r="BC100" s="3" t="s">
        <v>1429</v>
      </c>
      <c r="BD100" s="3" t="s">
        <v>1430</v>
      </c>
    </row>
    <row r="101" spans="1:56" ht="45" customHeight="1" x14ac:dyDescent="0.25">
      <c r="A101" s="8" t="s">
        <v>58</v>
      </c>
      <c r="B101" s="2" t="s">
        <v>1418</v>
      </c>
      <c r="C101" s="2" t="s">
        <v>1419</v>
      </c>
      <c r="D101" s="2" t="s">
        <v>1420</v>
      </c>
      <c r="E101" s="3" t="s">
        <v>1431</v>
      </c>
      <c r="F101" s="3" t="s">
        <v>68</v>
      </c>
      <c r="G101" s="3" t="s">
        <v>59</v>
      </c>
      <c r="H101" s="3" t="s">
        <v>58</v>
      </c>
      <c r="I101" s="3" t="s">
        <v>58</v>
      </c>
      <c r="J101" s="3" t="s">
        <v>60</v>
      </c>
      <c r="L101" s="2" t="s">
        <v>1421</v>
      </c>
      <c r="M101" s="3" t="s">
        <v>249</v>
      </c>
      <c r="O101" s="3" t="s">
        <v>64</v>
      </c>
      <c r="P101" s="3" t="s">
        <v>191</v>
      </c>
      <c r="R101" s="3" t="s">
        <v>66</v>
      </c>
      <c r="S101" s="4">
        <v>3</v>
      </c>
      <c r="T101" s="4">
        <v>6</v>
      </c>
      <c r="U101" s="5" t="s">
        <v>84</v>
      </c>
      <c r="V101" s="5" t="s">
        <v>84</v>
      </c>
      <c r="W101" s="5" t="s">
        <v>1423</v>
      </c>
      <c r="X101" s="5" t="s">
        <v>1423</v>
      </c>
      <c r="Y101" s="4">
        <v>300</v>
      </c>
      <c r="Z101" s="4">
        <v>244</v>
      </c>
      <c r="AA101" s="4">
        <v>246</v>
      </c>
      <c r="AB101" s="4">
        <v>2</v>
      </c>
      <c r="AC101" s="4">
        <v>2</v>
      </c>
      <c r="AD101" s="4">
        <v>8</v>
      </c>
      <c r="AE101" s="4">
        <v>8</v>
      </c>
      <c r="AF101" s="4">
        <v>3</v>
      </c>
      <c r="AG101" s="4">
        <v>3</v>
      </c>
      <c r="AH101" s="4">
        <v>1</v>
      </c>
      <c r="AI101" s="4">
        <v>1</v>
      </c>
      <c r="AJ101" s="4">
        <v>6</v>
      </c>
      <c r="AK101" s="4">
        <v>6</v>
      </c>
      <c r="AL101" s="4">
        <v>1</v>
      </c>
      <c r="AM101" s="4">
        <v>1</v>
      </c>
      <c r="AN101" s="4">
        <v>0</v>
      </c>
      <c r="AO101" s="4">
        <v>0</v>
      </c>
      <c r="AP101" s="3" t="s">
        <v>58</v>
      </c>
      <c r="AQ101" s="3" t="s">
        <v>68</v>
      </c>
      <c r="AR101" s="6" t="str">
        <f>HYPERLINK("http://catalog.hathitrust.org/Record/000025914","HathiTrust Record")</f>
        <v>HathiTrust Record</v>
      </c>
      <c r="AS101" s="6" t="str">
        <f>HYPERLINK("https://creighton-primo.hosted.exlibrisgroup.com/primo-explore/search?tab=default_tab&amp;search_scope=EVERYTHING&amp;vid=01CRU&amp;lang=en_US&amp;offset=0&amp;query=any,contains,991004508099702656","Catalog Record")</f>
        <v>Catalog Record</v>
      </c>
      <c r="AT101" s="6" t="str">
        <f>HYPERLINK("http://www.worldcat.org/oclc/3748680","WorldCat Record")</f>
        <v>WorldCat Record</v>
      </c>
      <c r="AU101" s="3" t="s">
        <v>1424</v>
      </c>
      <c r="AV101" s="3" t="s">
        <v>1425</v>
      </c>
      <c r="AW101" s="3" t="s">
        <v>1426</v>
      </c>
      <c r="AX101" s="3" t="s">
        <v>1426</v>
      </c>
      <c r="AY101" s="3" t="s">
        <v>1427</v>
      </c>
      <c r="AZ101" s="3" t="s">
        <v>73</v>
      </c>
      <c r="BB101" s="3" t="s">
        <v>1428</v>
      </c>
      <c r="BC101" s="3" t="s">
        <v>1432</v>
      </c>
      <c r="BD101" s="3" t="s">
        <v>1433</v>
      </c>
    </row>
    <row r="102" spans="1:56" ht="45" customHeight="1" x14ac:dyDescent="0.25">
      <c r="A102" s="8" t="s">
        <v>58</v>
      </c>
      <c r="B102" s="2" t="s">
        <v>1434</v>
      </c>
      <c r="C102" s="2" t="s">
        <v>1435</v>
      </c>
      <c r="D102" s="2" t="s">
        <v>1436</v>
      </c>
      <c r="F102" s="3" t="s">
        <v>58</v>
      </c>
      <c r="G102" s="3" t="s">
        <v>59</v>
      </c>
      <c r="H102" s="3" t="s">
        <v>58</v>
      </c>
      <c r="I102" s="3" t="s">
        <v>58</v>
      </c>
      <c r="J102" s="3" t="s">
        <v>60</v>
      </c>
      <c r="L102" s="2" t="s">
        <v>1437</v>
      </c>
      <c r="M102" s="3" t="s">
        <v>249</v>
      </c>
      <c r="O102" s="3" t="s">
        <v>64</v>
      </c>
      <c r="P102" s="3" t="s">
        <v>177</v>
      </c>
      <c r="R102" s="3" t="s">
        <v>66</v>
      </c>
      <c r="S102" s="4">
        <v>4</v>
      </c>
      <c r="T102" s="4">
        <v>4</v>
      </c>
      <c r="U102" s="5" t="s">
        <v>1438</v>
      </c>
      <c r="V102" s="5" t="s">
        <v>1438</v>
      </c>
      <c r="W102" s="5" t="s">
        <v>252</v>
      </c>
      <c r="X102" s="5" t="s">
        <v>252</v>
      </c>
      <c r="Y102" s="4">
        <v>192</v>
      </c>
      <c r="Z102" s="4">
        <v>136</v>
      </c>
      <c r="AA102" s="4">
        <v>138</v>
      </c>
      <c r="AB102" s="4">
        <v>2</v>
      </c>
      <c r="AC102" s="4">
        <v>2</v>
      </c>
      <c r="AD102" s="4">
        <v>5</v>
      </c>
      <c r="AE102" s="4">
        <v>5</v>
      </c>
      <c r="AF102" s="4">
        <v>0</v>
      </c>
      <c r="AG102" s="4">
        <v>0</v>
      </c>
      <c r="AH102" s="4">
        <v>1</v>
      </c>
      <c r="AI102" s="4">
        <v>1</v>
      </c>
      <c r="AJ102" s="4">
        <v>3</v>
      </c>
      <c r="AK102" s="4">
        <v>3</v>
      </c>
      <c r="AL102" s="4">
        <v>1</v>
      </c>
      <c r="AM102" s="4">
        <v>1</v>
      </c>
      <c r="AN102" s="4">
        <v>0</v>
      </c>
      <c r="AO102" s="4">
        <v>0</v>
      </c>
      <c r="AP102" s="3" t="s">
        <v>58</v>
      </c>
      <c r="AQ102" s="3" t="s">
        <v>68</v>
      </c>
      <c r="AR102" s="6" t="str">
        <f>HYPERLINK("http://catalog.hathitrust.org/Record/000176687","HathiTrust Record")</f>
        <v>HathiTrust Record</v>
      </c>
      <c r="AS102" s="6" t="str">
        <f>HYPERLINK("https://creighton-primo.hosted.exlibrisgroup.com/primo-explore/search?tab=default_tab&amp;search_scope=EVERYTHING&amp;vid=01CRU&amp;lang=en_US&amp;offset=0&amp;query=any,contains,991004565659702656","Catalog Record")</f>
        <v>Catalog Record</v>
      </c>
      <c r="AT102" s="6" t="str">
        <f>HYPERLINK("http://www.worldcat.org/oclc/4004475","WorldCat Record")</f>
        <v>WorldCat Record</v>
      </c>
      <c r="AU102" s="3" t="s">
        <v>1439</v>
      </c>
      <c r="AV102" s="3" t="s">
        <v>1440</v>
      </c>
      <c r="AW102" s="3" t="s">
        <v>1441</v>
      </c>
      <c r="AX102" s="3" t="s">
        <v>1441</v>
      </c>
      <c r="AY102" s="3" t="s">
        <v>1442</v>
      </c>
      <c r="AZ102" s="3" t="s">
        <v>73</v>
      </c>
      <c r="BB102" s="3" t="s">
        <v>1443</v>
      </c>
      <c r="BC102" s="3" t="s">
        <v>1444</v>
      </c>
      <c r="BD102" s="3" t="s">
        <v>1445</v>
      </c>
    </row>
    <row r="103" spans="1:56" ht="45" customHeight="1" x14ac:dyDescent="0.25">
      <c r="A103" s="8" t="s">
        <v>58</v>
      </c>
      <c r="B103" s="2" t="s">
        <v>1446</v>
      </c>
      <c r="C103" s="2" t="s">
        <v>1447</v>
      </c>
      <c r="D103" s="2" t="s">
        <v>1448</v>
      </c>
      <c r="F103" s="3" t="s">
        <v>58</v>
      </c>
      <c r="G103" s="3" t="s">
        <v>59</v>
      </c>
      <c r="H103" s="3" t="s">
        <v>58</v>
      </c>
      <c r="I103" s="3" t="s">
        <v>58</v>
      </c>
      <c r="J103" s="3" t="s">
        <v>60</v>
      </c>
      <c r="K103" s="2" t="s">
        <v>1449</v>
      </c>
      <c r="L103" s="2" t="s">
        <v>1450</v>
      </c>
      <c r="M103" s="3" t="s">
        <v>1451</v>
      </c>
      <c r="O103" s="3" t="s">
        <v>64</v>
      </c>
      <c r="P103" s="3" t="s">
        <v>250</v>
      </c>
      <c r="R103" s="3" t="s">
        <v>66</v>
      </c>
      <c r="S103" s="4">
        <v>2</v>
      </c>
      <c r="T103" s="4">
        <v>2</v>
      </c>
      <c r="U103" s="5" t="s">
        <v>1452</v>
      </c>
      <c r="V103" s="5" t="s">
        <v>1452</v>
      </c>
      <c r="W103" s="5" t="s">
        <v>1453</v>
      </c>
      <c r="X103" s="5" t="s">
        <v>1453</v>
      </c>
      <c r="Y103" s="4">
        <v>158</v>
      </c>
      <c r="Z103" s="4">
        <v>116</v>
      </c>
      <c r="AA103" s="4">
        <v>141</v>
      </c>
      <c r="AB103" s="4">
        <v>1</v>
      </c>
      <c r="AC103" s="4">
        <v>1</v>
      </c>
      <c r="AD103" s="4">
        <v>4</v>
      </c>
      <c r="AE103" s="4">
        <v>4</v>
      </c>
      <c r="AF103" s="4">
        <v>2</v>
      </c>
      <c r="AG103" s="4">
        <v>2</v>
      </c>
      <c r="AH103" s="4">
        <v>1</v>
      </c>
      <c r="AI103" s="4">
        <v>1</v>
      </c>
      <c r="AJ103" s="4">
        <v>2</v>
      </c>
      <c r="AK103" s="4">
        <v>2</v>
      </c>
      <c r="AL103" s="4">
        <v>0</v>
      </c>
      <c r="AM103" s="4">
        <v>0</v>
      </c>
      <c r="AN103" s="4">
        <v>0</v>
      </c>
      <c r="AO103" s="4">
        <v>0</v>
      </c>
      <c r="AP103" s="3" t="s">
        <v>58</v>
      </c>
      <c r="AQ103" s="3" t="s">
        <v>58</v>
      </c>
      <c r="AS103" s="6" t="str">
        <f>HYPERLINK("https://creighton-primo.hosted.exlibrisgroup.com/primo-explore/search?tab=default_tab&amp;search_scope=EVERYTHING&amp;vid=01CRU&amp;lang=en_US&amp;offset=0&amp;query=any,contains,991002875019702656","Catalog Record")</f>
        <v>Catalog Record</v>
      </c>
      <c r="AT103" s="6" t="str">
        <f>HYPERLINK("http://www.worldcat.org/oclc/37884822","WorldCat Record")</f>
        <v>WorldCat Record</v>
      </c>
      <c r="AU103" s="3" t="s">
        <v>1454</v>
      </c>
      <c r="AV103" s="3" t="s">
        <v>1455</v>
      </c>
      <c r="AW103" s="3" t="s">
        <v>1456</v>
      </c>
      <c r="AX103" s="3" t="s">
        <v>1456</v>
      </c>
      <c r="AY103" s="3" t="s">
        <v>1457</v>
      </c>
      <c r="AZ103" s="3" t="s">
        <v>73</v>
      </c>
      <c r="BB103" s="3" t="s">
        <v>1458</v>
      </c>
      <c r="BC103" s="3" t="s">
        <v>1459</v>
      </c>
      <c r="BD103" s="3" t="s">
        <v>1460</v>
      </c>
    </row>
    <row r="104" spans="1:56" ht="45" customHeight="1" x14ac:dyDescent="0.25">
      <c r="A104" s="8" t="s">
        <v>58</v>
      </c>
      <c r="B104" s="2" t="s">
        <v>1461</v>
      </c>
      <c r="C104" s="2" t="s">
        <v>1462</v>
      </c>
      <c r="D104" s="2" t="s">
        <v>1463</v>
      </c>
      <c r="F104" s="3" t="s">
        <v>58</v>
      </c>
      <c r="G104" s="3" t="s">
        <v>59</v>
      </c>
      <c r="H104" s="3" t="s">
        <v>58</v>
      </c>
      <c r="I104" s="3" t="s">
        <v>58</v>
      </c>
      <c r="J104" s="3" t="s">
        <v>60</v>
      </c>
      <c r="K104" s="2" t="s">
        <v>1464</v>
      </c>
      <c r="L104" s="2" t="s">
        <v>1465</v>
      </c>
      <c r="M104" s="3" t="s">
        <v>494</v>
      </c>
      <c r="O104" s="3" t="s">
        <v>64</v>
      </c>
      <c r="P104" s="3" t="s">
        <v>177</v>
      </c>
      <c r="Q104" s="2" t="s">
        <v>1466</v>
      </c>
      <c r="R104" s="3" t="s">
        <v>66</v>
      </c>
      <c r="S104" s="4">
        <v>3</v>
      </c>
      <c r="T104" s="4">
        <v>3</v>
      </c>
      <c r="U104" s="5" t="s">
        <v>1467</v>
      </c>
      <c r="V104" s="5" t="s">
        <v>1467</v>
      </c>
      <c r="W104" s="5" t="s">
        <v>453</v>
      </c>
      <c r="X104" s="5" t="s">
        <v>453</v>
      </c>
      <c r="Y104" s="4">
        <v>221</v>
      </c>
      <c r="Z104" s="4">
        <v>179</v>
      </c>
      <c r="AA104" s="4">
        <v>180</v>
      </c>
      <c r="AB104" s="4">
        <v>1</v>
      </c>
      <c r="AC104" s="4">
        <v>1</v>
      </c>
      <c r="AD104" s="4">
        <v>3</v>
      </c>
      <c r="AE104" s="4">
        <v>3</v>
      </c>
      <c r="AF104" s="4">
        <v>0</v>
      </c>
      <c r="AG104" s="4">
        <v>0</v>
      </c>
      <c r="AH104" s="4">
        <v>3</v>
      </c>
      <c r="AI104" s="4">
        <v>3</v>
      </c>
      <c r="AJ104" s="4">
        <v>2</v>
      </c>
      <c r="AK104" s="4">
        <v>2</v>
      </c>
      <c r="AL104" s="4">
        <v>0</v>
      </c>
      <c r="AM104" s="4">
        <v>0</v>
      </c>
      <c r="AN104" s="4">
        <v>0</v>
      </c>
      <c r="AO104" s="4">
        <v>0</v>
      </c>
      <c r="AP104" s="3" t="s">
        <v>58</v>
      </c>
      <c r="AQ104" s="3" t="s">
        <v>68</v>
      </c>
      <c r="AR104" s="6" t="str">
        <f>HYPERLINK("http://catalog.hathitrust.org/Record/000346677","HathiTrust Record")</f>
        <v>HathiTrust Record</v>
      </c>
      <c r="AS104" s="6" t="str">
        <f>HYPERLINK("https://creighton-primo.hosted.exlibrisgroup.com/primo-explore/search?tab=default_tab&amp;search_scope=EVERYTHING&amp;vid=01CRU&amp;lang=en_US&amp;offset=0&amp;query=any,contains,991000549499702656","Catalog Record")</f>
        <v>Catalog Record</v>
      </c>
      <c r="AT104" s="6" t="str">
        <f>HYPERLINK("http://www.worldcat.org/oclc/11532308","WorldCat Record")</f>
        <v>WorldCat Record</v>
      </c>
      <c r="AU104" s="3" t="s">
        <v>1468</v>
      </c>
      <c r="AV104" s="3" t="s">
        <v>1469</v>
      </c>
      <c r="AW104" s="3" t="s">
        <v>1470</v>
      </c>
      <c r="AX104" s="3" t="s">
        <v>1470</v>
      </c>
      <c r="AY104" s="3" t="s">
        <v>1471</v>
      </c>
      <c r="AZ104" s="3" t="s">
        <v>73</v>
      </c>
      <c r="BB104" s="3" t="s">
        <v>1472</v>
      </c>
      <c r="BC104" s="3" t="s">
        <v>1473</v>
      </c>
      <c r="BD104" s="3" t="s">
        <v>1474</v>
      </c>
    </row>
    <row r="105" spans="1:56" ht="45" customHeight="1" x14ac:dyDescent="0.25">
      <c r="A105" s="8" t="s">
        <v>58</v>
      </c>
      <c r="B105" s="2" t="s">
        <v>1475</v>
      </c>
      <c r="C105" s="2" t="s">
        <v>1476</v>
      </c>
      <c r="D105" s="2" t="s">
        <v>1477</v>
      </c>
      <c r="F105" s="3" t="s">
        <v>58</v>
      </c>
      <c r="G105" s="3" t="s">
        <v>59</v>
      </c>
      <c r="H105" s="3" t="s">
        <v>58</v>
      </c>
      <c r="I105" s="3" t="s">
        <v>58</v>
      </c>
      <c r="J105" s="3" t="s">
        <v>60</v>
      </c>
      <c r="K105" s="2" t="s">
        <v>1478</v>
      </c>
      <c r="L105" s="2" t="s">
        <v>1479</v>
      </c>
      <c r="M105" s="3" t="s">
        <v>762</v>
      </c>
      <c r="O105" s="3" t="s">
        <v>64</v>
      </c>
      <c r="P105" s="3" t="s">
        <v>65</v>
      </c>
      <c r="R105" s="3" t="s">
        <v>66</v>
      </c>
      <c r="S105" s="4">
        <v>8</v>
      </c>
      <c r="T105" s="4">
        <v>8</v>
      </c>
      <c r="U105" s="5" t="s">
        <v>1480</v>
      </c>
      <c r="V105" s="5" t="s">
        <v>1480</v>
      </c>
      <c r="W105" s="5" t="s">
        <v>1481</v>
      </c>
      <c r="X105" s="5" t="s">
        <v>1481</v>
      </c>
      <c r="Y105" s="4">
        <v>364</v>
      </c>
      <c r="Z105" s="4">
        <v>283</v>
      </c>
      <c r="AA105" s="4">
        <v>360</v>
      </c>
      <c r="AB105" s="4">
        <v>2</v>
      </c>
      <c r="AC105" s="4">
        <v>3</v>
      </c>
      <c r="AD105" s="4">
        <v>6</v>
      </c>
      <c r="AE105" s="4">
        <v>11</v>
      </c>
      <c r="AF105" s="4">
        <v>4</v>
      </c>
      <c r="AG105" s="4">
        <v>6</v>
      </c>
      <c r="AH105" s="4">
        <v>0</v>
      </c>
      <c r="AI105" s="4">
        <v>2</v>
      </c>
      <c r="AJ105" s="4">
        <v>5</v>
      </c>
      <c r="AK105" s="4">
        <v>6</v>
      </c>
      <c r="AL105" s="4">
        <v>0</v>
      </c>
      <c r="AM105" s="4">
        <v>1</v>
      </c>
      <c r="AN105" s="4">
        <v>0</v>
      </c>
      <c r="AO105" s="4">
        <v>0</v>
      </c>
      <c r="AP105" s="3" t="s">
        <v>58</v>
      </c>
      <c r="AQ105" s="3" t="s">
        <v>68</v>
      </c>
      <c r="AR105" s="6" t="str">
        <f>HYPERLINK("http://catalog.hathitrust.org/Record/001570644","HathiTrust Record")</f>
        <v>HathiTrust Record</v>
      </c>
      <c r="AS105" s="6" t="str">
        <f>HYPERLINK("https://creighton-primo.hosted.exlibrisgroup.com/primo-explore/search?tab=default_tab&amp;search_scope=EVERYTHING&amp;vid=01CRU&amp;lang=en_US&amp;offset=0&amp;query=any,contains,991003027389702656","Catalog Record")</f>
        <v>Catalog Record</v>
      </c>
      <c r="AT105" s="6" t="str">
        <f>HYPERLINK("http://www.worldcat.org/oclc/590960","WorldCat Record")</f>
        <v>WorldCat Record</v>
      </c>
      <c r="AU105" s="3" t="s">
        <v>1482</v>
      </c>
      <c r="AV105" s="3" t="s">
        <v>1483</v>
      </c>
      <c r="AW105" s="3" t="s">
        <v>1484</v>
      </c>
      <c r="AX105" s="3" t="s">
        <v>1484</v>
      </c>
      <c r="AY105" s="3" t="s">
        <v>1485</v>
      </c>
      <c r="AZ105" s="3" t="s">
        <v>73</v>
      </c>
      <c r="BB105" s="3" t="s">
        <v>1486</v>
      </c>
      <c r="BC105" s="3" t="s">
        <v>1487</v>
      </c>
      <c r="BD105" s="3" t="s">
        <v>1488</v>
      </c>
    </row>
    <row r="106" spans="1:56" ht="45" customHeight="1" x14ac:dyDescent="0.25">
      <c r="A106" s="8" t="s">
        <v>58</v>
      </c>
      <c r="B106" s="2" t="s">
        <v>1489</v>
      </c>
      <c r="C106" s="2" t="s">
        <v>1490</v>
      </c>
      <c r="D106" s="2" t="s">
        <v>1491</v>
      </c>
      <c r="F106" s="3" t="s">
        <v>58</v>
      </c>
      <c r="G106" s="3" t="s">
        <v>59</v>
      </c>
      <c r="H106" s="3" t="s">
        <v>58</v>
      </c>
      <c r="I106" s="3" t="s">
        <v>58</v>
      </c>
      <c r="J106" s="3" t="s">
        <v>60</v>
      </c>
      <c r="K106" s="2" t="s">
        <v>1492</v>
      </c>
      <c r="L106" s="2" t="s">
        <v>1493</v>
      </c>
      <c r="M106" s="3" t="s">
        <v>480</v>
      </c>
      <c r="O106" s="3" t="s">
        <v>64</v>
      </c>
      <c r="P106" s="3" t="s">
        <v>177</v>
      </c>
      <c r="R106" s="3" t="s">
        <v>66</v>
      </c>
      <c r="S106" s="4">
        <v>3</v>
      </c>
      <c r="T106" s="4">
        <v>3</v>
      </c>
      <c r="U106" s="5" t="s">
        <v>1494</v>
      </c>
      <c r="V106" s="5" t="s">
        <v>1494</v>
      </c>
      <c r="W106" s="5" t="s">
        <v>453</v>
      </c>
      <c r="X106" s="5" t="s">
        <v>453</v>
      </c>
      <c r="Y106" s="4">
        <v>238</v>
      </c>
      <c r="Z106" s="4">
        <v>190</v>
      </c>
      <c r="AA106" s="4">
        <v>192</v>
      </c>
      <c r="AB106" s="4">
        <v>1</v>
      </c>
      <c r="AC106" s="4">
        <v>1</v>
      </c>
      <c r="AD106" s="4">
        <v>3</v>
      </c>
      <c r="AE106" s="4">
        <v>3</v>
      </c>
      <c r="AF106" s="4">
        <v>0</v>
      </c>
      <c r="AG106" s="4">
        <v>0</v>
      </c>
      <c r="AH106" s="4">
        <v>0</v>
      </c>
      <c r="AI106" s="4">
        <v>0</v>
      </c>
      <c r="AJ106" s="4">
        <v>2</v>
      </c>
      <c r="AK106" s="4">
        <v>2</v>
      </c>
      <c r="AL106" s="4">
        <v>0</v>
      </c>
      <c r="AM106" s="4">
        <v>0</v>
      </c>
      <c r="AN106" s="4">
        <v>1</v>
      </c>
      <c r="AO106" s="4">
        <v>1</v>
      </c>
      <c r="AP106" s="3" t="s">
        <v>58</v>
      </c>
      <c r="AQ106" s="3" t="s">
        <v>68</v>
      </c>
      <c r="AR106" s="6" t="str">
        <f>HYPERLINK("http://catalog.hathitrust.org/Record/000150113","HathiTrust Record")</f>
        <v>HathiTrust Record</v>
      </c>
      <c r="AS106" s="6" t="str">
        <f>HYPERLINK("https://creighton-primo.hosted.exlibrisgroup.com/primo-explore/search?tab=default_tab&amp;search_scope=EVERYTHING&amp;vid=01CRU&amp;lang=en_US&amp;offset=0&amp;query=any,contains,991005097809702656","Catalog Record")</f>
        <v>Catalog Record</v>
      </c>
      <c r="AT106" s="6" t="str">
        <f>HYPERLINK("http://www.worldcat.org/oclc/7276800","WorldCat Record")</f>
        <v>WorldCat Record</v>
      </c>
      <c r="AU106" s="3" t="s">
        <v>1495</v>
      </c>
      <c r="AV106" s="3" t="s">
        <v>1496</v>
      </c>
      <c r="AW106" s="3" t="s">
        <v>1497</v>
      </c>
      <c r="AX106" s="3" t="s">
        <v>1497</v>
      </c>
      <c r="AY106" s="3" t="s">
        <v>1498</v>
      </c>
      <c r="AZ106" s="3" t="s">
        <v>73</v>
      </c>
      <c r="BB106" s="3" t="s">
        <v>1499</v>
      </c>
      <c r="BC106" s="3" t="s">
        <v>1500</v>
      </c>
      <c r="BD106" s="3" t="s">
        <v>1501</v>
      </c>
    </row>
    <row r="107" spans="1:56" ht="45" customHeight="1" x14ac:dyDescent="0.25">
      <c r="A107" s="8" t="s">
        <v>58</v>
      </c>
      <c r="B107" s="2" t="s">
        <v>1502</v>
      </c>
      <c r="C107" s="2" t="s">
        <v>1503</v>
      </c>
      <c r="D107" s="2" t="s">
        <v>1504</v>
      </c>
      <c r="F107" s="3" t="s">
        <v>58</v>
      </c>
      <c r="G107" s="3" t="s">
        <v>59</v>
      </c>
      <c r="H107" s="3" t="s">
        <v>58</v>
      </c>
      <c r="I107" s="3" t="s">
        <v>58</v>
      </c>
      <c r="J107" s="3" t="s">
        <v>60</v>
      </c>
      <c r="K107" s="2" t="s">
        <v>1505</v>
      </c>
      <c r="L107" s="2" t="s">
        <v>1506</v>
      </c>
      <c r="M107" s="3" t="s">
        <v>82</v>
      </c>
      <c r="O107" s="3" t="s">
        <v>64</v>
      </c>
      <c r="P107" s="3" t="s">
        <v>99</v>
      </c>
      <c r="R107" s="3" t="s">
        <v>66</v>
      </c>
      <c r="S107" s="4">
        <v>5</v>
      </c>
      <c r="T107" s="4">
        <v>5</v>
      </c>
      <c r="U107" s="5" t="s">
        <v>1383</v>
      </c>
      <c r="V107" s="5" t="s">
        <v>1383</v>
      </c>
      <c r="W107" s="5" t="s">
        <v>453</v>
      </c>
      <c r="X107" s="5" t="s">
        <v>453</v>
      </c>
      <c r="Y107" s="4">
        <v>249</v>
      </c>
      <c r="Z107" s="4">
        <v>215</v>
      </c>
      <c r="AA107" s="4">
        <v>217</v>
      </c>
      <c r="AB107" s="4">
        <v>4</v>
      </c>
      <c r="AC107" s="4">
        <v>4</v>
      </c>
      <c r="AD107" s="4">
        <v>5</v>
      </c>
      <c r="AE107" s="4">
        <v>5</v>
      </c>
      <c r="AF107" s="4">
        <v>1</v>
      </c>
      <c r="AG107" s="4">
        <v>1</v>
      </c>
      <c r="AH107" s="4">
        <v>0</v>
      </c>
      <c r="AI107" s="4">
        <v>0</v>
      </c>
      <c r="AJ107" s="4">
        <v>2</v>
      </c>
      <c r="AK107" s="4">
        <v>2</v>
      </c>
      <c r="AL107" s="4">
        <v>2</v>
      </c>
      <c r="AM107" s="4">
        <v>2</v>
      </c>
      <c r="AN107" s="4">
        <v>0</v>
      </c>
      <c r="AO107" s="4">
        <v>0</v>
      </c>
      <c r="AP107" s="3" t="s">
        <v>58</v>
      </c>
      <c r="AQ107" s="3" t="s">
        <v>58</v>
      </c>
      <c r="AS107" s="6" t="str">
        <f>HYPERLINK("https://creighton-primo.hosted.exlibrisgroup.com/primo-explore/search?tab=default_tab&amp;search_scope=EVERYTHING&amp;vid=01CRU&amp;lang=en_US&amp;offset=0&amp;query=any,contains,991004655119702656","Catalog Record")</f>
        <v>Catalog Record</v>
      </c>
      <c r="AT107" s="6" t="str">
        <f>HYPERLINK("http://www.worldcat.org/oclc/4495068","WorldCat Record")</f>
        <v>WorldCat Record</v>
      </c>
      <c r="AU107" s="3" t="s">
        <v>1507</v>
      </c>
      <c r="AV107" s="3" t="s">
        <v>1508</v>
      </c>
      <c r="AW107" s="3" t="s">
        <v>1509</v>
      </c>
      <c r="AX107" s="3" t="s">
        <v>1509</v>
      </c>
      <c r="AY107" s="3" t="s">
        <v>1510</v>
      </c>
      <c r="AZ107" s="3" t="s">
        <v>73</v>
      </c>
      <c r="BB107" s="3" t="s">
        <v>1511</v>
      </c>
      <c r="BC107" s="3" t="s">
        <v>1512</v>
      </c>
      <c r="BD107" s="3" t="s">
        <v>1513</v>
      </c>
    </row>
    <row r="108" spans="1:56" ht="45" customHeight="1" x14ac:dyDescent="0.25">
      <c r="A108" s="8" t="s">
        <v>58</v>
      </c>
      <c r="B108" s="2" t="s">
        <v>1514</v>
      </c>
      <c r="C108" s="2" t="s">
        <v>1515</v>
      </c>
      <c r="D108" s="2" t="s">
        <v>1516</v>
      </c>
      <c r="F108" s="3" t="s">
        <v>58</v>
      </c>
      <c r="G108" s="3" t="s">
        <v>59</v>
      </c>
      <c r="H108" s="3" t="s">
        <v>58</v>
      </c>
      <c r="I108" s="3" t="s">
        <v>58</v>
      </c>
      <c r="J108" s="3" t="s">
        <v>60</v>
      </c>
      <c r="L108" s="2" t="s">
        <v>1517</v>
      </c>
      <c r="M108" s="3" t="s">
        <v>291</v>
      </c>
      <c r="O108" s="3" t="s">
        <v>64</v>
      </c>
      <c r="P108" s="3" t="s">
        <v>177</v>
      </c>
      <c r="R108" s="3" t="s">
        <v>66</v>
      </c>
      <c r="S108" s="4">
        <v>12</v>
      </c>
      <c r="T108" s="4">
        <v>12</v>
      </c>
      <c r="U108" s="5" t="s">
        <v>1518</v>
      </c>
      <c r="V108" s="5" t="s">
        <v>1518</v>
      </c>
      <c r="W108" s="5" t="s">
        <v>424</v>
      </c>
      <c r="X108" s="5" t="s">
        <v>424</v>
      </c>
      <c r="Y108" s="4">
        <v>47</v>
      </c>
      <c r="Z108" s="4">
        <v>43</v>
      </c>
      <c r="AA108" s="4">
        <v>50</v>
      </c>
      <c r="AB108" s="4">
        <v>1</v>
      </c>
      <c r="AC108" s="4">
        <v>1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3" t="s">
        <v>58</v>
      </c>
      <c r="AQ108" s="3" t="s">
        <v>58</v>
      </c>
      <c r="AS108" s="6" t="str">
        <f>HYPERLINK("https://creighton-primo.hosted.exlibrisgroup.com/primo-explore/search?tab=default_tab&amp;search_scope=EVERYTHING&amp;vid=01CRU&amp;lang=en_US&amp;offset=0&amp;query=any,contains,991005179569702656","Catalog Record")</f>
        <v>Catalog Record</v>
      </c>
      <c r="AT108" s="6" t="str">
        <f>HYPERLINK("http://www.worldcat.org/oclc/7943053","WorldCat Record")</f>
        <v>WorldCat Record</v>
      </c>
      <c r="AU108" s="3" t="s">
        <v>1519</v>
      </c>
      <c r="AV108" s="3" t="s">
        <v>1520</v>
      </c>
      <c r="AW108" s="3" t="s">
        <v>1521</v>
      </c>
      <c r="AX108" s="3" t="s">
        <v>1521</v>
      </c>
      <c r="AY108" s="3" t="s">
        <v>1522</v>
      </c>
      <c r="AZ108" s="3" t="s">
        <v>73</v>
      </c>
      <c r="BC108" s="3" t="s">
        <v>1523</v>
      </c>
      <c r="BD108" s="3" t="s">
        <v>1524</v>
      </c>
    </row>
    <row r="109" spans="1:56" ht="45" customHeight="1" x14ac:dyDescent="0.25">
      <c r="A109" s="8" t="s">
        <v>58</v>
      </c>
      <c r="B109" s="2" t="s">
        <v>1525</v>
      </c>
      <c r="C109" s="2" t="s">
        <v>1526</v>
      </c>
      <c r="D109" s="2" t="s">
        <v>1527</v>
      </c>
      <c r="F109" s="3" t="s">
        <v>58</v>
      </c>
      <c r="G109" s="3" t="s">
        <v>59</v>
      </c>
      <c r="H109" s="3" t="s">
        <v>58</v>
      </c>
      <c r="I109" s="3" t="s">
        <v>58</v>
      </c>
      <c r="J109" s="3" t="s">
        <v>60</v>
      </c>
      <c r="K109" s="2" t="s">
        <v>1528</v>
      </c>
      <c r="L109" s="2" t="s">
        <v>1529</v>
      </c>
      <c r="M109" s="3" t="s">
        <v>480</v>
      </c>
      <c r="O109" s="3" t="s">
        <v>64</v>
      </c>
      <c r="P109" s="3" t="s">
        <v>901</v>
      </c>
      <c r="Q109" s="2" t="s">
        <v>1530</v>
      </c>
      <c r="R109" s="3" t="s">
        <v>66</v>
      </c>
      <c r="S109" s="4">
        <v>3</v>
      </c>
      <c r="T109" s="4">
        <v>3</v>
      </c>
      <c r="U109" s="5" t="s">
        <v>1531</v>
      </c>
      <c r="V109" s="5" t="s">
        <v>1531</v>
      </c>
      <c r="W109" s="5" t="s">
        <v>1532</v>
      </c>
      <c r="X109" s="5" t="s">
        <v>1532</v>
      </c>
      <c r="Y109" s="4">
        <v>421</v>
      </c>
      <c r="Z109" s="4">
        <v>349</v>
      </c>
      <c r="AA109" s="4">
        <v>355</v>
      </c>
      <c r="AB109" s="4">
        <v>3</v>
      </c>
      <c r="AC109" s="4">
        <v>3</v>
      </c>
      <c r="AD109" s="4">
        <v>17</v>
      </c>
      <c r="AE109" s="4">
        <v>17</v>
      </c>
      <c r="AF109" s="4">
        <v>10</v>
      </c>
      <c r="AG109" s="4">
        <v>10</v>
      </c>
      <c r="AH109" s="4">
        <v>3</v>
      </c>
      <c r="AI109" s="4">
        <v>3</v>
      </c>
      <c r="AJ109" s="4">
        <v>7</v>
      </c>
      <c r="AK109" s="4">
        <v>7</v>
      </c>
      <c r="AL109" s="4">
        <v>2</v>
      </c>
      <c r="AM109" s="4">
        <v>2</v>
      </c>
      <c r="AN109" s="4">
        <v>0</v>
      </c>
      <c r="AO109" s="4">
        <v>0</v>
      </c>
      <c r="AP109" s="3" t="s">
        <v>58</v>
      </c>
      <c r="AQ109" s="3" t="s">
        <v>68</v>
      </c>
      <c r="AR109" s="6" t="str">
        <f>HYPERLINK("http://catalog.hathitrust.org/Record/000766834","HathiTrust Record")</f>
        <v>HathiTrust Record</v>
      </c>
      <c r="AS109" s="6" t="str">
        <f>HYPERLINK("https://creighton-primo.hosted.exlibrisgroup.com/primo-explore/search?tab=default_tab&amp;search_scope=EVERYTHING&amp;vid=01CRU&amp;lang=en_US&amp;offset=0&amp;query=any,contains,991005203859702656","Catalog Record")</f>
        <v>Catalog Record</v>
      </c>
      <c r="AT109" s="6" t="str">
        <f>HYPERLINK("http://www.worldcat.org/oclc/8110575","WorldCat Record")</f>
        <v>WorldCat Record</v>
      </c>
      <c r="AU109" s="3" t="s">
        <v>1533</v>
      </c>
      <c r="AV109" s="3" t="s">
        <v>1534</v>
      </c>
      <c r="AW109" s="3" t="s">
        <v>1535</v>
      </c>
      <c r="AX109" s="3" t="s">
        <v>1535</v>
      </c>
      <c r="AY109" s="3" t="s">
        <v>1536</v>
      </c>
      <c r="AZ109" s="3" t="s">
        <v>73</v>
      </c>
      <c r="BB109" s="3" t="s">
        <v>1537</v>
      </c>
      <c r="BC109" s="3" t="s">
        <v>1538</v>
      </c>
      <c r="BD109" s="3" t="s">
        <v>1539</v>
      </c>
    </row>
    <row r="110" spans="1:56" ht="45" customHeight="1" x14ac:dyDescent="0.25">
      <c r="A110" s="8" t="s">
        <v>58</v>
      </c>
      <c r="B110" s="2" t="s">
        <v>1540</v>
      </c>
      <c r="C110" s="2" t="s">
        <v>1541</v>
      </c>
      <c r="D110" s="2" t="s">
        <v>1542</v>
      </c>
      <c r="F110" s="3" t="s">
        <v>58</v>
      </c>
      <c r="G110" s="3" t="s">
        <v>59</v>
      </c>
      <c r="H110" s="3" t="s">
        <v>58</v>
      </c>
      <c r="I110" s="3" t="s">
        <v>58</v>
      </c>
      <c r="J110" s="3" t="s">
        <v>60</v>
      </c>
      <c r="K110" s="2" t="s">
        <v>1543</v>
      </c>
      <c r="L110" s="2" t="s">
        <v>1544</v>
      </c>
      <c r="M110" s="3" t="s">
        <v>762</v>
      </c>
      <c r="O110" s="3" t="s">
        <v>64</v>
      </c>
      <c r="P110" s="3" t="s">
        <v>177</v>
      </c>
      <c r="R110" s="3" t="s">
        <v>66</v>
      </c>
      <c r="S110" s="4">
        <v>4</v>
      </c>
      <c r="T110" s="4">
        <v>4</v>
      </c>
      <c r="U110" s="5" t="s">
        <v>1545</v>
      </c>
      <c r="V110" s="5" t="s">
        <v>1545</v>
      </c>
      <c r="W110" s="5" t="s">
        <v>1546</v>
      </c>
      <c r="X110" s="5" t="s">
        <v>1546</v>
      </c>
      <c r="Y110" s="4">
        <v>604</v>
      </c>
      <c r="Z110" s="4">
        <v>465</v>
      </c>
      <c r="AA110" s="4">
        <v>469</v>
      </c>
      <c r="AB110" s="4">
        <v>5</v>
      </c>
      <c r="AC110" s="4">
        <v>5</v>
      </c>
      <c r="AD110" s="4">
        <v>23</v>
      </c>
      <c r="AE110" s="4">
        <v>23</v>
      </c>
      <c r="AF110" s="4">
        <v>7</v>
      </c>
      <c r="AG110" s="4">
        <v>7</v>
      </c>
      <c r="AH110" s="4">
        <v>2</v>
      </c>
      <c r="AI110" s="4">
        <v>2</v>
      </c>
      <c r="AJ110" s="4">
        <v>14</v>
      </c>
      <c r="AK110" s="4">
        <v>14</v>
      </c>
      <c r="AL110" s="4">
        <v>3</v>
      </c>
      <c r="AM110" s="4">
        <v>3</v>
      </c>
      <c r="AN110" s="4">
        <v>0</v>
      </c>
      <c r="AO110" s="4">
        <v>0</v>
      </c>
      <c r="AP110" s="3" t="s">
        <v>58</v>
      </c>
      <c r="AQ110" s="3" t="s">
        <v>68</v>
      </c>
      <c r="AR110" s="6" t="str">
        <f>HYPERLINK("http://catalog.hathitrust.org/Record/001570671","HathiTrust Record")</f>
        <v>HathiTrust Record</v>
      </c>
      <c r="AS110" s="6" t="str">
        <f>HYPERLINK("https://creighton-primo.hosted.exlibrisgroup.com/primo-explore/search?tab=default_tab&amp;search_scope=EVERYTHING&amp;vid=01CRU&amp;lang=en_US&amp;offset=0&amp;query=any,contains,991002729659702656","Catalog Record")</f>
        <v>Catalog Record</v>
      </c>
      <c r="AT110" s="6" t="str">
        <f>HYPERLINK("http://www.worldcat.org/oclc/415476","WorldCat Record")</f>
        <v>WorldCat Record</v>
      </c>
      <c r="AU110" s="3" t="s">
        <v>1547</v>
      </c>
      <c r="AV110" s="3" t="s">
        <v>1548</v>
      </c>
      <c r="AW110" s="3" t="s">
        <v>1549</v>
      </c>
      <c r="AX110" s="3" t="s">
        <v>1549</v>
      </c>
      <c r="AY110" s="3" t="s">
        <v>1550</v>
      </c>
      <c r="AZ110" s="3" t="s">
        <v>73</v>
      </c>
      <c r="BB110" s="3" t="s">
        <v>1551</v>
      </c>
      <c r="BC110" s="3" t="s">
        <v>1552</v>
      </c>
      <c r="BD110" s="3" t="s">
        <v>1553</v>
      </c>
    </row>
    <row r="111" spans="1:56" ht="45" customHeight="1" x14ac:dyDescent="0.25">
      <c r="A111" s="8" t="s">
        <v>58</v>
      </c>
      <c r="B111" s="2" t="s">
        <v>1554</v>
      </c>
      <c r="C111" s="2" t="s">
        <v>1555</v>
      </c>
      <c r="D111" s="2" t="s">
        <v>1556</v>
      </c>
      <c r="F111" s="3" t="s">
        <v>58</v>
      </c>
      <c r="G111" s="3" t="s">
        <v>59</v>
      </c>
      <c r="H111" s="3" t="s">
        <v>58</v>
      </c>
      <c r="I111" s="3" t="s">
        <v>58</v>
      </c>
      <c r="J111" s="3" t="s">
        <v>60</v>
      </c>
      <c r="K111" s="2" t="s">
        <v>1557</v>
      </c>
      <c r="L111" s="2" t="s">
        <v>1558</v>
      </c>
      <c r="M111" s="3" t="s">
        <v>762</v>
      </c>
      <c r="O111" s="3" t="s">
        <v>64</v>
      </c>
      <c r="P111" s="3" t="s">
        <v>191</v>
      </c>
      <c r="R111" s="3" t="s">
        <v>66</v>
      </c>
      <c r="S111" s="4">
        <v>3</v>
      </c>
      <c r="T111" s="4">
        <v>3</v>
      </c>
      <c r="U111" s="5" t="s">
        <v>1559</v>
      </c>
      <c r="V111" s="5" t="s">
        <v>1559</v>
      </c>
      <c r="W111" s="5" t="s">
        <v>1560</v>
      </c>
      <c r="X111" s="5" t="s">
        <v>1560</v>
      </c>
      <c r="Y111" s="4">
        <v>559</v>
      </c>
      <c r="Z111" s="4">
        <v>479</v>
      </c>
      <c r="AA111" s="4">
        <v>486</v>
      </c>
      <c r="AB111" s="4">
        <v>5</v>
      </c>
      <c r="AC111" s="4">
        <v>5</v>
      </c>
      <c r="AD111" s="4">
        <v>23</v>
      </c>
      <c r="AE111" s="4">
        <v>23</v>
      </c>
      <c r="AF111" s="4">
        <v>9</v>
      </c>
      <c r="AG111" s="4">
        <v>9</v>
      </c>
      <c r="AH111" s="4">
        <v>3</v>
      </c>
      <c r="AI111" s="4">
        <v>3</v>
      </c>
      <c r="AJ111" s="4">
        <v>13</v>
      </c>
      <c r="AK111" s="4">
        <v>13</v>
      </c>
      <c r="AL111" s="4">
        <v>4</v>
      </c>
      <c r="AM111" s="4">
        <v>4</v>
      </c>
      <c r="AN111" s="4">
        <v>0</v>
      </c>
      <c r="AO111" s="4">
        <v>0</v>
      </c>
      <c r="AP111" s="3" t="s">
        <v>58</v>
      </c>
      <c r="AQ111" s="3" t="s">
        <v>68</v>
      </c>
      <c r="AR111" s="6" t="str">
        <f>HYPERLINK("http://catalog.hathitrust.org/Record/000004572","HathiTrust Record")</f>
        <v>HathiTrust Record</v>
      </c>
      <c r="AS111" s="6" t="str">
        <f>HYPERLINK("https://creighton-primo.hosted.exlibrisgroup.com/primo-explore/search?tab=default_tab&amp;search_scope=EVERYTHING&amp;vid=01CRU&amp;lang=en_US&amp;offset=0&amp;query=any,contains,991002315089702656","Catalog Record")</f>
        <v>Catalog Record</v>
      </c>
      <c r="AT111" s="6" t="str">
        <f>HYPERLINK("http://www.worldcat.org/oclc/320026","WorldCat Record")</f>
        <v>WorldCat Record</v>
      </c>
      <c r="AU111" s="3" t="s">
        <v>1561</v>
      </c>
      <c r="AV111" s="3" t="s">
        <v>1562</v>
      </c>
      <c r="AW111" s="3" t="s">
        <v>1563</v>
      </c>
      <c r="AX111" s="3" t="s">
        <v>1563</v>
      </c>
      <c r="AY111" s="3" t="s">
        <v>1564</v>
      </c>
      <c r="AZ111" s="3" t="s">
        <v>73</v>
      </c>
      <c r="BB111" s="3" t="s">
        <v>1565</v>
      </c>
      <c r="BC111" s="3" t="s">
        <v>1566</v>
      </c>
      <c r="BD111" s="3" t="s">
        <v>1567</v>
      </c>
    </row>
    <row r="112" spans="1:56" ht="45" customHeight="1" x14ac:dyDescent="0.25">
      <c r="A112" s="8" t="s">
        <v>58</v>
      </c>
      <c r="B112" s="2" t="s">
        <v>1568</v>
      </c>
      <c r="C112" s="2" t="s">
        <v>1569</v>
      </c>
      <c r="D112" s="2" t="s">
        <v>1570</v>
      </c>
      <c r="E112" s="3" t="s">
        <v>1431</v>
      </c>
      <c r="F112" s="3" t="s">
        <v>68</v>
      </c>
      <c r="G112" s="3" t="s">
        <v>59</v>
      </c>
      <c r="H112" s="3" t="s">
        <v>58</v>
      </c>
      <c r="I112" s="3" t="s">
        <v>58</v>
      </c>
      <c r="J112" s="3" t="s">
        <v>60</v>
      </c>
      <c r="K112" s="2" t="s">
        <v>1571</v>
      </c>
      <c r="L112" s="2" t="s">
        <v>1572</v>
      </c>
      <c r="M112" s="3" t="s">
        <v>480</v>
      </c>
      <c r="O112" s="3" t="s">
        <v>64</v>
      </c>
      <c r="P112" s="3" t="s">
        <v>177</v>
      </c>
      <c r="R112" s="3" t="s">
        <v>66</v>
      </c>
      <c r="S112" s="4">
        <v>2</v>
      </c>
      <c r="T112" s="4">
        <v>4</v>
      </c>
      <c r="U112" s="5" t="s">
        <v>1545</v>
      </c>
      <c r="V112" s="5" t="s">
        <v>1545</v>
      </c>
      <c r="W112" s="5" t="s">
        <v>453</v>
      </c>
      <c r="X112" s="5" t="s">
        <v>453</v>
      </c>
      <c r="Y112" s="4">
        <v>354</v>
      </c>
      <c r="Z112" s="4">
        <v>312</v>
      </c>
      <c r="AA112" s="4">
        <v>318</v>
      </c>
      <c r="AB112" s="4">
        <v>5</v>
      </c>
      <c r="AC112" s="4">
        <v>5</v>
      </c>
      <c r="AD112" s="4">
        <v>14</v>
      </c>
      <c r="AE112" s="4">
        <v>14</v>
      </c>
      <c r="AF112" s="4">
        <v>6</v>
      </c>
      <c r="AG112" s="4">
        <v>6</v>
      </c>
      <c r="AH112" s="4">
        <v>1</v>
      </c>
      <c r="AI112" s="4">
        <v>1</v>
      </c>
      <c r="AJ112" s="4">
        <v>6</v>
      </c>
      <c r="AK112" s="4">
        <v>6</v>
      </c>
      <c r="AL112" s="4">
        <v>4</v>
      </c>
      <c r="AM112" s="4">
        <v>4</v>
      </c>
      <c r="AN112" s="4">
        <v>0</v>
      </c>
      <c r="AO112" s="4">
        <v>0</v>
      </c>
      <c r="AP112" s="3" t="s">
        <v>58</v>
      </c>
      <c r="AQ112" s="3" t="s">
        <v>68</v>
      </c>
      <c r="AR112" s="6" t="str">
        <f>HYPERLINK("http://catalog.hathitrust.org/Record/007470039","HathiTrust Record")</f>
        <v>HathiTrust Record</v>
      </c>
      <c r="AS112" s="6" t="str">
        <f>HYPERLINK("https://creighton-primo.hosted.exlibrisgroup.com/primo-explore/search?tab=default_tab&amp;search_scope=EVERYTHING&amp;vid=01CRU&amp;lang=en_US&amp;offset=0&amp;query=any,contains,991005092879702656","Catalog Record")</f>
        <v>Catalog Record</v>
      </c>
      <c r="AT112" s="6" t="str">
        <f>HYPERLINK("http://www.worldcat.org/oclc/7248492","WorldCat Record")</f>
        <v>WorldCat Record</v>
      </c>
      <c r="AU112" s="3" t="s">
        <v>1573</v>
      </c>
      <c r="AV112" s="3" t="s">
        <v>1574</v>
      </c>
      <c r="AW112" s="3" t="s">
        <v>1575</v>
      </c>
      <c r="AX112" s="3" t="s">
        <v>1575</v>
      </c>
      <c r="AY112" s="3" t="s">
        <v>1576</v>
      </c>
      <c r="AZ112" s="3" t="s">
        <v>73</v>
      </c>
      <c r="BB112" s="3" t="s">
        <v>1577</v>
      </c>
      <c r="BC112" s="3" t="s">
        <v>1578</v>
      </c>
      <c r="BD112" s="3" t="s">
        <v>1579</v>
      </c>
    </row>
    <row r="113" spans="1:56" ht="45" customHeight="1" x14ac:dyDescent="0.25">
      <c r="A113" s="8" t="s">
        <v>58</v>
      </c>
      <c r="B113" s="2" t="s">
        <v>1568</v>
      </c>
      <c r="C113" s="2" t="s">
        <v>1569</v>
      </c>
      <c r="D113" s="2" t="s">
        <v>1570</v>
      </c>
      <c r="E113" s="3" t="s">
        <v>550</v>
      </c>
      <c r="F113" s="3" t="s">
        <v>68</v>
      </c>
      <c r="G113" s="3" t="s">
        <v>59</v>
      </c>
      <c r="H113" s="3" t="s">
        <v>58</v>
      </c>
      <c r="I113" s="3" t="s">
        <v>58</v>
      </c>
      <c r="J113" s="3" t="s">
        <v>60</v>
      </c>
      <c r="K113" s="2" t="s">
        <v>1571</v>
      </c>
      <c r="L113" s="2" t="s">
        <v>1572</v>
      </c>
      <c r="M113" s="3" t="s">
        <v>480</v>
      </c>
      <c r="O113" s="3" t="s">
        <v>64</v>
      </c>
      <c r="P113" s="3" t="s">
        <v>177</v>
      </c>
      <c r="R113" s="3" t="s">
        <v>66</v>
      </c>
      <c r="S113" s="4">
        <v>2</v>
      </c>
      <c r="T113" s="4">
        <v>4</v>
      </c>
      <c r="U113" s="5" t="s">
        <v>1580</v>
      </c>
      <c r="V113" s="5" t="s">
        <v>1545</v>
      </c>
      <c r="W113" s="5" t="s">
        <v>453</v>
      </c>
      <c r="X113" s="5" t="s">
        <v>453</v>
      </c>
      <c r="Y113" s="4">
        <v>354</v>
      </c>
      <c r="Z113" s="4">
        <v>312</v>
      </c>
      <c r="AA113" s="4">
        <v>318</v>
      </c>
      <c r="AB113" s="4">
        <v>5</v>
      </c>
      <c r="AC113" s="4">
        <v>5</v>
      </c>
      <c r="AD113" s="4">
        <v>14</v>
      </c>
      <c r="AE113" s="4">
        <v>14</v>
      </c>
      <c r="AF113" s="4">
        <v>6</v>
      </c>
      <c r="AG113" s="4">
        <v>6</v>
      </c>
      <c r="AH113" s="4">
        <v>1</v>
      </c>
      <c r="AI113" s="4">
        <v>1</v>
      </c>
      <c r="AJ113" s="4">
        <v>6</v>
      </c>
      <c r="AK113" s="4">
        <v>6</v>
      </c>
      <c r="AL113" s="4">
        <v>4</v>
      </c>
      <c r="AM113" s="4">
        <v>4</v>
      </c>
      <c r="AN113" s="4">
        <v>0</v>
      </c>
      <c r="AO113" s="4">
        <v>0</v>
      </c>
      <c r="AP113" s="3" t="s">
        <v>58</v>
      </c>
      <c r="AQ113" s="3" t="s">
        <v>68</v>
      </c>
      <c r="AR113" s="6" t="str">
        <f>HYPERLINK("http://catalog.hathitrust.org/Record/007470039","HathiTrust Record")</f>
        <v>HathiTrust Record</v>
      </c>
      <c r="AS113" s="6" t="str">
        <f>HYPERLINK("https://creighton-primo.hosted.exlibrisgroup.com/primo-explore/search?tab=default_tab&amp;search_scope=EVERYTHING&amp;vid=01CRU&amp;lang=en_US&amp;offset=0&amp;query=any,contains,991005092879702656","Catalog Record")</f>
        <v>Catalog Record</v>
      </c>
      <c r="AT113" s="6" t="str">
        <f>HYPERLINK("http://www.worldcat.org/oclc/7248492","WorldCat Record")</f>
        <v>WorldCat Record</v>
      </c>
      <c r="AU113" s="3" t="s">
        <v>1573</v>
      </c>
      <c r="AV113" s="3" t="s">
        <v>1574</v>
      </c>
      <c r="AW113" s="3" t="s">
        <v>1575</v>
      </c>
      <c r="AX113" s="3" t="s">
        <v>1575</v>
      </c>
      <c r="AY113" s="3" t="s">
        <v>1576</v>
      </c>
      <c r="AZ113" s="3" t="s">
        <v>73</v>
      </c>
      <c r="BB113" s="3" t="s">
        <v>1577</v>
      </c>
      <c r="BC113" s="3" t="s">
        <v>1581</v>
      </c>
      <c r="BD113" s="3" t="s">
        <v>1582</v>
      </c>
    </row>
    <row r="114" spans="1:56" ht="45" customHeight="1" x14ac:dyDescent="0.25">
      <c r="A114" s="8" t="s">
        <v>58</v>
      </c>
      <c r="B114" s="2" t="s">
        <v>1583</v>
      </c>
      <c r="C114" s="2" t="s">
        <v>1584</v>
      </c>
      <c r="D114" s="2" t="s">
        <v>1585</v>
      </c>
      <c r="F114" s="3" t="s">
        <v>58</v>
      </c>
      <c r="G114" s="3" t="s">
        <v>59</v>
      </c>
      <c r="H114" s="3" t="s">
        <v>58</v>
      </c>
      <c r="I114" s="3" t="s">
        <v>58</v>
      </c>
      <c r="J114" s="3" t="s">
        <v>60</v>
      </c>
      <c r="K114" s="2" t="s">
        <v>1586</v>
      </c>
      <c r="L114" s="2" t="s">
        <v>1587</v>
      </c>
      <c r="M114" s="3" t="s">
        <v>249</v>
      </c>
      <c r="O114" s="3" t="s">
        <v>64</v>
      </c>
      <c r="P114" s="3" t="s">
        <v>177</v>
      </c>
      <c r="R114" s="3" t="s">
        <v>66</v>
      </c>
      <c r="S114" s="4">
        <v>7</v>
      </c>
      <c r="T114" s="4">
        <v>7</v>
      </c>
      <c r="U114" s="5" t="s">
        <v>1588</v>
      </c>
      <c r="V114" s="5" t="s">
        <v>1588</v>
      </c>
      <c r="W114" s="5" t="s">
        <v>568</v>
      </c>
      <c r="X114" s="5" t="s">
        <v>568</v>
      </c>
      <c r="Y114" s="4">
        <v>640</v>
      </c>
      <c r="Z114" s="4">
        <v>511</v>
      </c>
      <c r="AA114" s="4">
        <v>551</v>
      </c>
      <c r="AB114" s="4">
        <v>3</v>
      </c>
      <c r="AC114" s="4">
        <v>3</v>
      </c>
      <c r="AD114" s="4">
        <v>16</v>
      </c>
      <c r="AE114" s="4">
        <v>17</v>
      </c>
      <c r="AF114" s="4">
        <v>7</v>
      </c>
      <c r="AG114" s="4">
        <v>7</v>
      </c>
      <c r="AH114" s="4">
        <v>4</v>
      </c>
      <c r="AI114" s="4">
        <v>4</v>
      </c>
      <c r="AJ114" s="4">
        <v>9</v>
      </c>
      <c r="AK114" s="4">
        <v>10</v>
      </c>
      <c r="AL114" s="4">
        <v>1</v>
      </c>
      <c r="AM114" s="4">
        <v>1</v>
      </c>
      <c r="AN114" s="4">
        <v>0</v>
      </c>
      <c r="AO114" s="4">
        <v>0</v>
      </c>
      <c r="AP114" s="3" t="s">
        <v>58</v>
      </c>
      <c r="AQ114" s="3" t="s">
        <v>68</v>
      </c>
      <c r="AR114" s="6" t="str">
        <f>HYPERLINK("http://catalog.hathitrust.org/Record/000132226","HathiTrust Record")</f>
        <v>HathiTrust Record</v>
      </c>
      <c r="AS114" s="6" t="str">
        <f>HYPERLINK("https://creighton-primo.hosted.exlibrisgroup.com/primo-explore/search?tab=default_tab&amp;search_scope=EVERYTHING&amp;vid=01CRU&amp;lang=en_US&amp;offset=0&amp;query=any,contains,991004504149702656","Catalog Record")</f>
        <v>Catalog Record</v>
      </c>
      <c r="AT114" s="6" t="str">
        <f>HYPERLINK("http://www.worldcat.org/oclc/3730375","WorldCat Record")</f>
        <v>WorldCat Record</v>
      </c>
      <c r="AU114" s="3" t="s">
        <v>1589</v>
      </c>
      <c r="AV114" s="3" t="s">
        <v>1590</v>
      </c>
      <c r="AW114" s="3" t="s">
        <v>1591</v>
      </c>
      <c r="AX114" s="3" t="s">
        <v>1591</v>
      </c>
      <c r="AY114" s="3" t="s">
        <v>1592</v>
      </c>
      <c r="AZ114" s="3" t="s">
        <v>73</v>
      </c>
      <c r="BB114" s="3" t="s">
        <v>1593</v>
      </c>
      <c r="BC114" s="3" t="s">
        <v>1594</v>
      </c>
      <c r="BD114" s="3" t="s">
        <v>1595</v>
      </c>
    </row>
    <row r="115" spans="1:56" ht="45" customHeight="1" x14ac:dyDescent="0.25">
      <c r="A115" s="8" t="s">
        <v>58</v>
      </c>
      <c r="B115" s="2" t="s">
        <v>1596</v>
      </c>
      <c r="C115" s="2" t="s">
        <v>1597</v>
      </c>
      <c r="D115" s="2" t="s">
        <v>1598</v>
      </c>
      <c r="F115" s="3" t="s">
        <v>58</v>
      </c>
      <c r="G115" s="3" t="s">
        <v>59</v>
      </c>
      <c r="H115" s="3" t="s">
        <v>58</v>
      </c>
      <c r="I115" s="3" t="s">
        <v>58</v>
      </c>
      <c r="J115" s="3" t="s">
        <v>60</v>
      </c>
      <c r="K115" s="2" t="s">
        <v>1599</v>
      </c>
      <c r="L115" s="2" t="s">
        <v>1600</v>
      </c>
      <c r="M115" s="3" t="s">
        <v>762</v>
      </c>
      <c r="O115" s="3" t="s">
        <v>64</v>
      </c>
      <c r="P115" s="3" t="s">
        <v>177</v>
      </c>
      <c r="R115" s="3" t="s">
        <v>66</v>
      </c>
      <c r="S115" s="4">
        <v>4</v>
      </c>
      <c r="T115" s="4">
        <v>4</v>
      </c>
      <c r="U115" s="5" t="s">
        <v>1545</v>
      </c>
      <c r="V115" s="5" t="s">
        <v>1545</v>
      </c>
      <c r="W115" s="5" t="s">
        <v>1560</v>
      </c>
      <c r="X115" s="5" t="s">
        <v>1560</v>
      </c>
      <c r="Y115" s="4">
        <v>222</v>
      </c>
      <c r="Z115" s="4">
        <v>186</v>
      </c>
      <c r="AA115" s="4">
        <v>188</v>
      </c>
      <c r="AB115" s="4">
        <v>1</v>
      </c>
      <c r="AC115" s="4">
        <v>1</v>
      </c>
      <c r="AD115" s="4">
        <v>6</v>
      </c>
      <c r="AE115" s="4">
        <v>6</v>
      </c>
      <c r="AF115" s="4">
        <v>2</v>
      </c>
      <c r="AG115" s="4">
        <v>2</v>
      </c>
      <c r="AH115" s="4">
        <v>2</v>
      </c>
      <c r="AI115" s="4">
        <v>2</v>
      </c>
      <c r="AJ115" s="4">
        <v>3</v>
      </c>
      <c r="AK115" s="4">
        <v>3</v>
      </c>
      <c r="AL115" s="4">
        <v>0</v>
      </c>
      <c r="AM115" s="4">
        <v>0</v>
      </c>
      <c r="AN115" s="4">
        <v>0</v>
      </c>
      <c r="AO115" s="4">
        <v>0</v>
      </c>
      <c r="AP115" s="3" t="s">
        <v>58</v>
      </c>
      <c r="AQ115" s="3" t="s">
        <v>68</v>
      </c>
      <c r="AR115" s="6" t="str">
        <f>HYPERLINK("http://catalog.hathitrust.org/Record/001570673","HathiTrust Record")</f>
        <v>HathiTrust Record</v>
      </c>
      <c r="AS115" s="6" t="str">
        <f>HYPERLINK("https://creighton-primo.hosted.exlibrisgroup.com/primo-explore/search?tab=default_tab&amp;search_scope=EVERYTHING&amp;vid=01CRU&amp;lang=en_US&amp;offset=0&amp;query=any,contains,991002495549702656","Catalog Record")</f>
        <v>Catalog Record</v>
      </c>
      <c r="AT115" s="6" t="str">
        <f>HYPERLINK("http://www.worldcat.org/oclc/363755","WorldCat Record")</f>
        <v>WorldCat Record</v>
      </c>
      <c r="AU115" s="3" t="s">
        <v>1601</v>
      </c>
      <c r="AV115" s="3" t="s">
        <v>1602</v>
      </c>
      <c r="AW115" s="3" t="s">
        <v>1603</v>
      </c>
      <c r="AX115" s="3" t="s">
        <v>1603</v>
      </c>
      <c r="AY115" s="3" t="s">
        <v>1604</v>
      </c>
      <c r="AZ115" s="3" t="s">
        <v>73</v>
      </c>
      <c r="BB115" s="3" t="s">
        <v>1605</v>
      </c>
      <c r="BC115" s="3" t="s">
        <v>1606</v>
      </c>
      <c r="BD115" s="3" t="s">
        <v>1607</v>
      </c>
    </row>
    <row r="116" spans="1:56" ht="45" customHeight="1" x14ac:dyDescent="0.25">
      <c r="A116" s="8" t="s">
        <v>58</v>
      </c>
      <c r="B116" s="2" t="s">
        <v>1608</v>
      </c>
      <c r="C116" s="2" t="s">
        <v>1609</v>
      </c>
      <c r="D116" s="2" t="s">
        <v>1610</v>
      </c>
      <c r="F116" s="3" t="s">
        <v>58</v>
      </c>
      <c r="G116" s="3" t="s">
        <v>59</v>
      </c>
      <c r="H116" s="3" t="s">
        <v>58</v>
      </c>
      <c r="I116" s="3" t="s">
        <v>58</v>
      </c>
      <c r="J116" s="3" t="s">
        <v>60</v>
      </c>
      <c r="K116" s="2" t="s">
        <v>1611</v>
      </c>
      <c r="L116" s="2" t="s">
        <v>1612</v>
      </c>
      <c r="M116" s="3" t="s">
        <v>1013</v>
      </c>
      <c r="O116" s="3" t="s">
        <v>64</v>
      </c>
      <c r="P116" s="3" t="s">
        <v>114</v>
      </c>
      <c r="Q116" s="2" t="s">
        <v>1613</v>
      </c>
      <c r="R116" s="3" t="s">
        <v>66</v>
      </c>
      <c r="S116" s="4">
        <v>8</v>
      </c>
      <c r="T116" s="4">
        <v>8</v>
      </c>
      <c r="U116" s="5" t="s">
        <v>1588</v>
      </c>
      <c r="V116" s="5" t="s">
        <v>1588</v>
      </c>
      <c r="W116" s="5" t="s">
        <v>568</v>
      </c>
      <c r="X116" s="5" t="s">
        <v>568</v>
      </c>
      <c r="Y116" s="4">
        <v>360</v>
      </c>
      <c r="Z116" s="4">
        <v>230</v>
      </c>
      <c r="AA116" s="4">
        <v>235</v>
      </c>
      <c r="AB116" s="4">
        <v>3</v>
      </c>
      <c r="AC116" s="4">
        <v>3</v>
      </c>
      <c r="AD116" s="4">
        <v>12</v>
      </c>
      <c r="AE116" s="4">
        <v>12</v>
      </c>
      <c r="AF116" s="4">
        <v>4</v>
      </c>
      <c r="AG116" s="4">
        <v>4</v>
      </c>
      <c r="AH116" s="4">
        <v>1</v>
      </c>
      <c r="AI116" s="4">
        <v>1</v>
      </c>
      <c r="AJ116" s="4">
        <v>7</v>
      </c>
      <c r="AK116" s="4">
        <v>7</v>
      </c>
      <c r="AL116" s="4">
        <v>2</v>
      </c>
      <c r="AM116" s="4">
        <v>2</v>
      </c>
      <c r="AN116" s="4">
        <v>0</v>
      </c>
      <c r="AO116" s="4">
        <v>0</v>
      </c>
      <c r="AP116" s="3" t="s">
        <v>58</v>
      </c>
      <c r="AQ116" s="3" t="s">
        <v>58</v>
      </c>
      <c r="AS116" s="6" t="str">
        <f>HYPERLINK("https://creighton-primo.hosted.exlibrisgroup.com/primo-explore/search?tab=default_tab&amp;search_scope=EVERYTHING&amp;vid=01CRU&amp;lang=en_US&amp;offset=0&amp;query=any,contains,991000779869702656","Catalog Record")</f>
        <v>Catalog Record</v>
      </c>
      <c r="AT116" s="6" t="str">
        <f>HYPERLINK("http://www.worldcat.org/oclc/13094415","WorldCat Record")</f>
        <v>WorldCat Record</v>
      </c>
      <c r="AU116" s="3" t="s">
        <v>1614</v>
      </c>
      <c r="AV116" s="3" t="s">
        <v>1615</v>
      </c>
      <c r="AW116" s="3" t="s">
        <v>1616</v>
      </c>
      <c r="AX116" s="3" t="s">
        <v>1616</v>
      </c>
      <c r="AY116" s="3" t="s">
        <v>1617</v>
      </c>
      <c r="AZ116" s="3" t="s">
        <v>73</v>
      </c>
      <c r="BB116" s="3" t="s">
        <v>1618</v>
      </c>
      <c r="BC116" s="3" t="s">
        <v>1619</v>
      </c>
      <c r="BD116" s="3" t="s">
        <v>1620</v>
      </c>
    </row>
    <row r="117" spans="1:56" ht="45" customHeight="1" x14ac:dyDescent="0.25">
      <c r="A117" s="8" t="s">
        <v>58</v>
      </c>
      <c r="B117" s="2" t="s">
        <v>1621</v>
      </c>
      <c r="C117" s="2" t="s">
        <v>1622</v>
      </c>
      <c r="D117" s="2" t="s">
        <v>1623</v>
      </c>
      <c r="F117" s="3" t="s">
        <v>58</v>
      </c>
      <c r="G117" s="3" t="s">
        <v>59</v>
      </c>
      <c r="H117" s="3" t="s">
        <v>58</v>
      </c>
      <c r="I117" s="3" t="s">
        <v>58</v>
      </c>
      <c r="J117" s="3" t="s">
        <v>60</v>
      </c>
      <c r="K117" s="2" t="s">
        <v>1624</v>
      </c>
      <c r="L117" s="2" t="s">
        <v>1625</v>
      </c>
      <c r="M117" s="3" t="s">
        <v>234</v>
      </c>
      <c r="O117" s="3" t="s">
        <v>64</v>
      </c>
      <c r="P117" s="3" t="s">
        <v>191</v>
      </c>
      <c r="R117" s="3" t="s">
        <v>66</v>
      </c>
      <c r="S117" s="4">
        <v>3</v>
      </c>
      <c r="T117" s="4">
        <v>3</v>
      </c>
      <c r="U117" s="5" t="s">
        <v>1626</v>
      </c>
      <c r="V117" s="5" t="s">
        <v>1626</v>
      </c>
      <c r="W117" s="5" t="s">
        <v>1627</v>
      </c>
      <c r="X117" s="5" t="s">
        <v>1627</v>
      </c>
      <c r="Y117" s="4">
        <v>443</v>
      </c>
      <c r="Z117" s="4">
        <v>367</v>
      </c>
      <c r="AA117" s="4">
        <v>392</v>
      </c>
      <c r="AB117" s="4">
        <v>2</v>
      </c>
      <c r="AC117" s="4">
        <v>3</v>
      </c>
      <c r="AD117" s="4">
        <v>11</v>
      </c>
      <c r="AE117" s="4">
        <v>13</v>
      </c>
      <c r="AF117" s="4">
        <v>6</v>
      </c>
      <c r="AG117" s="4">
        <v>6</v>
      </c>
      <c r="AH117" s="4">
        <v>3</v>
      </c>
      <c r="AI117" s="4">
        <v>3</v>
      </c>
      <c r="AJ117" s="4">
        <v>6</v>
      </c>
      <c r="AK117" s="4">
        <v>7</v>
      </c>
      <c r="AL117" s="4">
        <v>1</v>
      </c>
      <c r="AM117" s="4">
        <v>2</v>
      </c>
      <c r="AN117" s="4">
        <v>0</v>
      </c>
      <c r="AO117" s="4">
        <v>0</v>
      </c>
      <c r="AP117" s="3" t="s">
        <v>58</v>
      </c>
      <c r="AQ117" s="3" t="s">
        <v>68</v>
      </c>
      <c r="AR117" s="6" t="str">
        <f>HYPERLINK("http://catalog.hathitrust.org/Record/000020747","HathiTrust Record")</f>
        <v>HathiTrust Record</v>
      </c>
      <c r="AS117" s="6" t="str">
        <f>HYPERLINK("https://creighton-primo.hosted.exlibrisgroup.com/primo-explore/search?tab=default_tab&amp;search_scope=EVERYTHING&amp;vid=01CRU&amp;lang=en_US&amp;offset=0&amp;query=any,contains,991003808599702656","Catalog Record")</f>
        <v>Catalog Record</v>
      </c>
      <c r="AT117" s="6" t="str">
        <f>HYPERLINK("http://www.worldcat.org/oclc/1532016","WorldCat Record")</f>
        <v>WorldCat Record</v>
      </c>
      <c r="AU117" s="3" t="s">
        <v>1628</v>
      </c>
      <c r="AV117" s="3" t="s">
        <v>1629</v>
      </c>
      <c r="AW117" s="3" t="s">
        <v>1630</v>
      </c>
      <c r="AX117" s="3" t="s">
        <v>1630</v>
      </c>
      <c r="AY117" s="3" t="s">
        <v>1631</v>
      </c>
      <c r="AZ117" s="3" t="s">
        <v>73</v>
      </c>
      <c r="BB117" s="3" t="s">
        <v>1632</v>
      </c>
      <c r="BC117" s="3" t="s">
        <v>1633</v>
      </c>
      <c r="BD117" s="3" t="s">
        <v>1634</v>
      </c>
    </row>
    <row r="118" spans="1:56" ht="45" customHeight="1" x14ac:dyDescent="0.25">
      <c r="A118" s="8" t="s">
        <v>58</v>
      </c>
      <c r="B118" s="2" t="s">
        <v>1635</v>
      </c>
      <c r="C118" s="2" t="s">
        <v>1636</v>
      </c>
      <c r="D118" s="2" t="s">
        <v>1637</v>
      </c>
      <c r="F118" s="3" t="s">
        <v>58</v>
      </c>
      <c r="G118" s="3" t="s">
        <v>59</v>
      </c>
      <c r="H118" s="3" t="s">
        <v>58</v>
      </c>
      <c r="I118" s="3" t="s">
        <v>58</v>
      </c>
      <c r="J118" s="3" t="s">
        <v>60</v>
      </c>
      <c r="K118" s="2" t="s">
        <v>1638</v>
      </c>
      <c r="L118" s="2" t="s">
        <v>1639</v>
      </c>
      <c r="M118" s="3" t="s">
        <v>762</v>
      </c>
      <c r="O118" s="3" t="s">
        <v>64</v>
      </c>
      <c r="P118" s="3" t="s">
        <v>177</v>
      </c>
      <c r="R118" s="3" t="s">
        <v>66</v>
      </c>
      <c r="S118" s="4">
        <v>4</v>
      </c>
      <c r="T118" s="4">
        <v>4</v>
      </c>
      <c r="U118" s="5" t="s">
        <v>1640</v>
      </c>
      <c r="V118" s="5" t="s">
        <v>1640</v>
      </c>
      <c r="W118" s="5" t="s">
        <v>1560</v>
      </c>
      <c r="X118" s="5" t="s">
        <v>1560</v>
      </c>
      <c r="Y118" s="4">
        <v>561</v>
      </c>
      <c r="Z118" s="4">
        <v>466</v>
      </c>
      <c r="AA118" s="4">
        <v>468</v>
      </c>
      <c r="AB118" s="4">
        <v>9</v>
      </c>
      <c r="AC118" s="4">
        <v>9</v>
      </c>
      <c r="AD118" s="4">
        <v>17</v>
      </c>
      <c r="AE118" s="4">
        <v>17</v>
      </c>
      <c r="AF118" s="4">
        <v>4</v>
      </c>
      <c r="AG118" s="4">
        <v>4</v>
      </c>
      <c r="AH118" s="4">
        <v>3</v>
      </c>
      <c r="AI118" s="4">
        <v>3</v>
      </c>
      <c r="AJ118" s="4">
        <v>5</v>
      </c>
      <c r="AK118" s="4">
        <v>5</v>
      </c>
      <c r="AL118" s="4">
        <v>7</v>
      </c>
      <c r="AM118" s="4">
        <v>7</v>
      </c>
      <c r="AN118" s="4">
        <v>0</v>
      </c>
      <c r="AO118" s="4">
        <v>0</v>
      </c>
      <c r="AP118" s="3" t="s">
        <v>58</v>
      </c>
      <c r="AQ118" s="3" t="s">
        <v>68</v>
      </c>
      <c r="AR118" s="6" t="str">
        <f>HYPERLINK("http://catalog.hathitrust.org/Record/001570676","HathiTrust Record")</f>
        <v>HathiTrust Record</v>
      </c>
      <c r="AS118" s="6" t="str">
        <f>HYPERLINK("https://creighton-primo.hosted.exlibrisgroup.com/primo-explore/search?tab=default_tab&amp;search_scope=EVERYTHING&amp;vid=01CRU&amp;lang=en_US&amp;offset=0&amp;query=any,contains,991005266199702656","Catalog Record")</f>
        <v>Catalog Record</v>
      </c>
      <c r="AT118" s="6" t="str">
        <f>HYPERLINK("http://www.worldcat.org/oclc/267802","WorldCat Record")</f>
        <v>WorldCat Record</v>
      </c>
      <c r="AU118" s="3" t="s">
        <v>1641</v>
      </c>
      <c r="AV118" s="3" t="s">
        <v>1642</v>
      </c>
      <c r="AW118" s="3" t="s">
        <v>1643</v>
      </c>
      <c r="AX118" s="3" t="s">
        <v>1643</v>
      </c>
      <c r="AY118" s="3" t="s">
        <v>1644</v>
      </c>
      <c r="AZ118" s="3" t="s">
        <v>73</v>
      </c>
      <c r="BB118" s="3" t="s">
        <v>1645</v>
      </c>
      <c r="BC118" s="3" t="s">
        <v>1646</v>
      </c>
      <c r="BD118" s="3" t="s">
        <v>1647</v>
      </c>
    </row>
    <row r="119" spans="1:56" ht="45" customHeight="1" x14ac:dyDescent="0.25">
      <c r="A119" s="8" t="s">
        <v>58</v>
      </c>
      <c r="B119" s="2" t="s">
        <v>1648</v>
      </c>
      <c r="C119" s="2" t="s">
        <v>1649</v>
      </c>
      <c r="D119" s="2" t="s">
        <v>1650</v>
      </c>
      <c r="F119" s="3" t="s">
        <v>58</v>
      </c>
      <c r="G119" s="3" t="s">
        <v>59</v>
      </c>
      <c r="H119" s="3" t="s">
        <v>58</v>
      </c>
      <c r="I119" s="3" t="s">
        <v>58</v>
      </c>
      <c r="J119" s="3" t="s">
        <v>60</v>
      </c>
      <c r="L119" s="2" t="s">
        <v>1651</v>
      </c>
      <c r="M119" s="3" t="s">
        <v>494</v>
      </c>
      <c r="O119" s="3" t="s">
        <v>64</v>
      </c>
      <c r="P119" s="3" t="s">
        <v>177</v>
      </c>
      <c r="R119" s="3" t="s">
        <v>66</v>
      </c>
      <c r="S119" s="4">
        <v>65</v>
      </c>
      <c r="T119" s="4">
        <v>65</v>
      </c>
      <c r="U119" s="5" t="s">
        <v>1652</v>
      </c>
      <c r="V119" s="5" t="s">
        <v>1652</v>
      </c>
      <c r="W119" s="5" t="s">
        <v>568</v>
      </c>
      <c r="X119" s="5" t="s">
        <v>568</v>
      </c>
      <c r="Y119" s="4">
        <v>136</v>
      </c>
      <c r="Z119" s="4">
        <v>113</v>
      </c>
      <c r="AA119" s="4">
        <v>115</v>
      </c>
      <c r="AB119" s="4">
        <v>1</v>
      </c>
      <c r="AC119" s="4">
        <v>1</v>
      </c>
      <c r="AD119" s="4">
        <v>1</v>
      </c>
      <c r="AE119" s="4">
        <v>1</v>
      </c>
      <c r="AF119" s="4">
        <v>0</v>
      </c>
      <c r="AG119" s="4">
        <v>0</v>
      </c>
      <c r="AH119" s="4">
        <v>0</v>
      </c>
      <c r="AI119" s="4">
        <v>0</v>
      </c>
      <c r="AJ119" s="4">
        <v>1</v>
      </c>
      <c r="AK119" s="4">
        <v>1</v>
      </c>
      <c r="AL119" s="4">
        <v>0</v>
      </c>
      <c r="AM119" s="4">
        <v>0</v>
      </c>
      <c r="AN119" s="4">
        <v>0</v>
      </c>
      <c r="AO119" s="4">
        <v>0</v>
      </c>
      <c r="AP119" s="3" t="s">
        <v>58</v>
      </c>
      <c r="AQ119" s="3" t="s">
        <v>58</v>
      </c>
      <c r="AS119" s="6" t="str">
        <f>HYPERLINK("https://creighton-primo.hosted.exlibrisgroup.com/primo-explore/search?tab=default_tab&amp;search_scope=EVERYTHING&amp;vid=01CRU&amp;lang=en_US&amp;offset=0&amp;query=any,contains,991000525009702656","Catalog Record")</f>
        <v>Catalog Record</v>
      </c>
      <c r="AT119" s="6" t="str">
        <f>HYPERLINK("http://www.worldcat.org/oclc/11370001","WorldCat Record")</f>
        <v>WorldCat Record</v>
      </c>
      <c r="AU119" s="3" t="s">
        <v>1653</v>
      </c>
      <c r="AV119" s="3" t="s">
        <v>1654</v>
      </c>
      <c r="AW119" s="3" t="s">
        <v>1655</v>
      </c>
      <c r="AX119" s="3" t="s">
        <v>1655</v>
      </c>
      <c r="AY119" s="3" t="s">
        <v>1656</v>
      </c>
      <c r="AZ119" s="3" t="s">
        <v>73</v>
      </c>
      <c r="BB119" s="3" t="s">
        <v>1657</v>
      </c>
      <c r="BC119" s="3" t="s">
        <v>1658</v>
      </c>
      <c r="BD119" s="3" t="s">
        <v>1659</v>
      </c>
    </row>
    <row r="120" spans="1:56" ht="45" customHeight="1" x14ac:dyDescent="0.25">
      <c r="A120" s="8" t="s">
        <v>58</v>
      </c>
      <c r="B120" s="2" t="s">
        <v>1660</v>
      </c>
      <c r="C120" s="2" t="s">
        <v>1661</v>
      </c>
      <c r="D120" s="2" t="s">
        <v>1662</v>
      </c>
      <c r="F120" s="3" t="s">
        <v>58</v>
      </c>
      <c r="G120" s="3" t="s">
        <v>59</v>
      </c>
      <c r="H120" s="3" t="s">
        <v>58</v>
      </c>
      <c r="I120" s="3" t="s">
        <v>58</v>
      </c>
      <c r="J120" s="3" t="s">
        <v>60</v>
      </c>
      <c r="K120" s="2" t="s">
        <v>1663</v>
      </c>
      <c r="L120" s="2" t="s">
        <v>1664</v>
      </c>
      <c r="M120" s="3" t="s">
        <v>1013</v>
      </c>
      <c r="O120" s="3" t="s">
        <v>64</v>
      </c>
      <c r="P120" s="3" t="s">
        <v>177</v>
      </c>
      <c r="Q120" s="2" t="s">
        <v>1237</v>
      </c>
      <c r="R120" s="3" t="s">
        <v>66</v>
      </c>
      <c r="S120" s="4">
        <v>57</v>
      </c>
      <c r="T120" s="4">
        <v>57</v>
      </c>
      <c r="U120" s="5" t="s">
        <v>1665</v>
      </c>
      <c r="V120" s="5" t="s">
        <v>1665</v>
      </c>
      <c r="W120" s="5" t="s">
        <v>658</v>
      </c>
      <c r="X120" s="5" t="s">
        <v>658</v>
      </c>
      <c r="Y120" s="4">
        <v>361</v>
      </c>
      <c r="Z120" s="4">
        <v>296</v>
      </c>
      <c r="AA120" s="4">
        <v>307</v>
      </c>
      <c r="AB120" s="4">
        <v>3</v>
      </c>
      <c r="AC120" s="4">
        <v>3</v>
      </c>
      <c r="AD120" s="4">
        <v>11</v>
      </c>
      <c r="AE120" s="4">
        <v>11</v>
      </c>
      <c r="AF120" s="4">
        <v>4</v>
      </c>
      <c r="AG120" s="4">
        <v>4</v>
      </c>
      <c r="AH120" s="4">
        <v>1</v>
      </c>
      <c r="AI120" s="4">
        <v>1</v>
      </c>
      <c r="AJ120" s="4">
        <v>8</v>
      </c>
      <c r="AK120" s="4">
        <v>8</v>
      </c>
      <c r="AL120" s="4">
        <v>2</v>
      </c>
      <c r="AM120" s="4">
        <v>2</v>
      </c>
      <c r="AN120" s="4">
        <v>0</v>
      </c>
      <c r="AO120" s="4">
        <v>0</v>
      </c>
      <c r="AP120" s="3" t="s">
        <v>58</v>
      </c>
      <c r="AQ120" s="3" t="s">
        <v>68</v>
      </c>
      <c r="AR120" s="6" t="str">
        <f>HYPERLINK("http://catalog.hathitrust.org/Record/000440995","HathiTrust Record")</f>
        <v>HathiTrust Record</v>
      </c>
      <c r="AS120" s="6" t="str">
        <f>HYPERLINK("https://creighton-primo.hosted.exlibrisgroup.com/primo-explore/search?tab=default_tab&amp;search_scope=EVERYTHING&amp;vid=01CRU&amp;lang=en_US&amp;offset=0&amp;query=any,contains,991000808709702656","Catalog Record")</f>
        <v>Catalog Record</v>
      </c>
      <c r="AT120" s="6" t="str">
        <f>HYPERLINK("http://www.worldcat.org/oclc/13328427","WorldCat Record")</f>
        <v>WorldCat Record</v>
      </c>
      <c r="AU120" s="3" t="s">
        <v>1666</v>
      </c>
      <c r="AV120" s="3" t="s">
        <v>1667</v>
      </c>
      <c r="AW120" s="3" t="s">
        <v>1668</v>
      </c>
      <c r="AX120" s="3" t="s">
        <v>1668</v>
      </c>
      <c r="AY120" s="3" t="s">
        <v>1669</v>
      </c>
      <c r="AZ120" s="3" t="s">
        <v>73</v>
      </c>
      <c r="BB120" s="3" t="s">
        <v>1670</v>
      </c>
      <c r="BC120" s="3" t="s">
        <v>1671</v>
      </c>
      <c r="BD120" s="3" t="s">
        <v>1672</v>
      </c>
    </row>
    <row r="121" spans="1:56" ht="45" customHeight="1" x14ac:dyDescent="0.25">
      <c r="A121" s="8" t="s">
        <v>58</v>
      </c>
      <c r="B121" s="2" t="s">
        <v>1673</v>
      </c>
      <c r="C121" s="2" t="s">
        <v>1674</v>
      </c>
      <c r="D121" s="2" t="s">
        <v>1675</v>
      </c>
      <c r="F121" s="3" t="s">
        <v>58</v>
      </c>
      <c r="G121" s="3" t="s">
        <v>59</v>
      </c>
      <c r="H121" s="3" t="s">
        <v>58</v>
      </c>
      <c r="I121" s="3" t="s">
        <v>58</v>
      </c>
      <c r="J121" s="3" t="s">
        <v>60</v>
      </c>
      <c r="K121" s="2" t="s">
        <v>1676</v>
      </c>
      <c r="L121" s="2" t="s">
        <v>1677</v>
      </c>
      <c r="M121" s="3" t="s">
        <v>378</v>
      </c>
      <c r="O121" s="3" t="s">
        <v>64</v>
      </c>
      <c r="P121" s="3" t="s">
        <v>636</v>
      </c>
      <c r="R121" s="3" t="s">
        <v>66</v>
      </c>
      <c r="S121" s="4">
        <v>46</v>
      </c>
      <c r="T121" s="4">
        <v>46</v>
      </c>
      <c r="U121" s="5" t="s">
        <v>1665</v>
      </c>
      <c r="V121" s="5" t="s">
        <v>1665</v>
      </c>
      <c r="W121" s="5" t="s">
        <v>1678</v>
      </c>
      <c r="X121" s="5" t="s">
        <v>1678</v>
      </c>
      <c r="Y121" s="4">
        <v>6</v>
      </c>
      <c r="Z121" s="4">
        <v>6</v>
      </c>
      <c r="AA121" s="4">
        <v>6</v>
      </c>
      <c r="AB121" s="4">
        <v>1</v>
      </c>
      <c r="AC121" s="4">
        <v>1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3" t="s">
        <v>58</v>
      </c>
      <c r="AQ121" s="3" t="s">
        <v>58</v>
      </c>
      <c r="AS121" s="6" t="str">
        <f>HYPERLINK("https://creighton-primo.hosted.exlibrisgroup.com/primo-explore/search?tab=default_tab&amp;search_scope=EVERYTHING&amp;vid=01CRU&amp;lang=en_US&amp;offset=0&amp;query=any,contains,991001025279702656","Catalog Record")</f>
        <v>Catalog Record</v>
      </c>
      <c r="AT121" s="6" t="str">
        <f>HYPERLINK("http://www.worldcat.org/oclc/15465830","WorldCat Record")</f>
        <v>WorldCat Record</v>
      </c>
      <c r="AU121" s="3" t="s">
        <v>1679</v>
      </c>
      <c r="AV121" s="3" t="s">
        <v>1680</v>
      </c>
      <c r="AW121" s="3" t="s">
        <v>1681</v>
      </c>
      <c r="AX121" s="3" t="s">
        <v>1681</v>
      </c>
      <c r="AY121" s="3" t="s">
        <v>1682</v>
      </c>
      <c r="AZ121" s="3" t="s">
        <v>73</v>
      </c>
      <c r="BC121" s="3" t="s">
        <v>1683</v>
      </c>
      <c r="BD121" s="3" t="s">
        <v>1684</v>
      </c>
    </row>
    <row r="122" spans="1:56" ht="45" customHeight="1" x14ac:dyDescent="0.25">
      <c r="A122" s="8" t="s">
        <v>58</v>
      </c>
      <c r="B122" s="2" t="s">
        <v>1685</v>
      </c>
      <c r="C122" s="2" t="s">
        <v>1686</v>
      </c>
      <c r="D122" s="2" t="s">
        <v>1687</v>
      </c>
      <c r="F122" s="3" t="s">
        <v>58</v>
      </c>
      <c r="G122" s="3" t="s">
        <v>59</v>
      </c>
      <c r="H122" s="3" t="s">
        <v>68</v>
      </c>
      <c r="I122" s="3" t="s">
        <v>58</v>
      </c>
      <c r="J122" s="3" t="s">
        <v>60</v>
      </c>
      <c r="L122" s="2" t="s">
        <v>1688</v>
      </c>
      <c r="M122" s="3" t="s">
        <v>681</v>
      </c>
      <c r="O122" s="3" t="s">
        <v>64</v>
      </c>
      <c r="P122" s="3" t="s">
        <v>177</v>
      </c>
      <c r="R122" s="3" t="s">
        <v>66</v>
      </c>
      <c r="S122" s="4">
        <v>8</v>
      </c>
      <c r="T122" s="4">
        <v>8</v>
      </c>
      <c r="U122" s="5" t="s">
        <v>1689</v>
      </c>
      <c r="V122" s="5" t="s">
        <v>1689</v>
      </c>
      <c r="W122" s="5" t="s">
        <v>793</v>
      </c>
      <c r="X122" s="5" t="s">
        <v>793</v>
      </c>
      <c r="Y122" s="4">
        <v>380</v>
      </c>
      <c r="Z122" s="4">
        <v>327</v>
      </c>
      <c r="AA122" s="4">
        <v>332</v>
      </c>
      <c r="AB122" s="4">
        <v>4</v>
      </c>
      <c r="AC122" s="4">
        <v>4</v>
      </c>
      <c r="AD122" s="4">
        <v>13</v>
      </c>
      <c r="AE122" s="4">
        <v>13</v>
      </c>
      <c r="AF122" s="4">
        <v>3</v>
      </c>
      <c r="AG122" s="4">
        <v>3</v>
      </c>
      <c r="AH122" s="4">
        <v>2</v>
      </c>
      <c r="AI122" s="4">
        <v>2</v>
      </c>
      <c r="AJ122" s="4">
        <v>8</v>
      </c>
      <c r="AK122" s="4">
        <v>8</v>
      </c>
      <c r="AL122" s="4">
        <v>2</v>
      </c>
      <c r="AM122" s="4">
        <v>2</v>
      </c>
      <c r="AN122" s="4">
        <v>0</v>
      </c>
      <c r="AO122" s="4">
        <v>0</v>
      </c>
      <c r="AP122" s="3" t="s">
        <v>58</v>
      </c>
      <c r="AQ122" s="3" t="s">
        <v>58</v>
      </c>
      <c r="AS122" s="6" t="str">
        <f>HYPERLINK("https://creighton-primo.hosted.exlibrisgroup.com/primo-explore/search?tab=default_tab&amp;search_scope=EVERYTHING&amp;vid=01CRU&amp;lang=en_US&amp;offset=0&amp;query=any,contains,991000163119702656","Catalog Record")</f>
        <v>Catalog Record</v>
      </c>
      <c r="AT122" s="6" t="str">
        <f>HYPERLINK("http://www.worldcat.org/oclc/9281598","WorldCat Record")</f>
        <v>WorldCat Record</v>
      </c>
      <c r="AU122" s="3" t="s">
        <v>1690</v>
      </c>
      <c r="AV122" s="3" t="s">
        <v>1691</v>
      </c>
      <c r="AW122" s="3" t="s">
        <v>1692</v>
      </c>
      <c r="AX122" s="3" t="s">
        <v>1692</v>
      </c>
      <c r="AY122" s="3" t="s">
        <v>1693</v>
      </c>
      <c r="AZ122" s="3" t="s">
        <v>73</v>
      </c>
      <c r="BB122" s="3" t="s">
        <v>1694</v>
      </c>
      <c r="BC122" s="3" t="s">
        <v>1695</v>
      </c>
      <c r="BD122" s="3" t="s">
        <v>1696</v>
      </c>
    </row>
    <row r="123" spans="1:56" ht="45" customHeight="1" x14ac:dyDescent="0.25">
      <c r="A123" s="8" t="s">
        <v>58</v>
      </c>
      <c r="B123" s="2" t="s">
        <v>1697</v>
      </c>
      <c r="C123" s="2" t="s">
        <v>1698</v>
      </c>
      <c r="D123" s="2" t="s">
        <v>1699</v>
      </c>
      <c r="F123" s="3" t="s">
        <v>58</v>
      </c>
      <c r="G123" s="3" t="s">
        <v>59</v>
      </c>
      <c r="H123" s="3" t="s">
        <v>58</v>
      </c>
      <c r="I123" s="3" t="s">
        <v>58</v>
      </c>
      <c r="J123" s="3" t="s">
        <v>60</v>
      </c>
      <c r="K123" s="2" t="s">
        <v>1700</v>
      </c>
      <c r="L123" s="2" t="s">
        <v>1701</v>
      </c>
      <c r="M123" s="3" t="s">
        <v>176</v>
      </c>
      <c r="O123" s="3" t="s">
        <v>64</v>
      </c>
      <c r="P123" s="3" t="s">
        <v>1702</v>
      </c>
      <c r="R123" s="3" t="s">
        <v>66</v>
      </c>
      <c r="S123" s="4">
        <v>1</v>
      </c>
      <c r="T123" s="4">
        <v>1</v>
      </c>
      <c r="U123" s="5" t="s">
        <v>1703</v>
      </c>
      <c r="V123" s="5" t="s">
        <v>1703</v>
      </c>
      <c r="W123" s="5" t="s">
        <v>1704</v>
      </c>
      <c r="X123" s="5" t="s">
        <v>1704</v>
      </c>
      <c r="Y123" s="4">
        <v>64</v>
      </c>
      <c r="Z123" s="4">
        <v>58</v>
      </c>
      <c r="AA123" s="4">
        <v>89</v>
      </c>
      <c r="AB123" s="4">
        <v>1</v>
      </c>
      <c r="AC123" s="4">
        <v>1</v>
      </c>
      <c r="AD123" s="4">
        <v>2</v>
      </c>
      <c r="AE123" s="4">
        <v>4</v>
      </c>
      <c r="AF123" s="4">
        <v>2</v>
      </c>
      <c r="AG123" s="4">
        <v>3</v>
      </c>
      <c r="AH123" s="4">
        <v>0</v>
      </c>
      <c r="AI123" s="4">
        <v>1</v>
      </c>
      <c r="AJ123" s="4">
        <v>1</v>
      </c>
      <c r="AK123" s="4">
        <v>2</v>
      </c>
      <c r="AL123" s="4">
        <v>0</v>
      </c>
      <c r="AM123" s="4">
        <v>0</v>
      </c>
      <c r="AN123" s="4">
        <v>0</v>
      </c>
      <c r="AO123" s="4">
        <v>0</v>
      </c>
      <c r="AP123" s="3" t="s">
        <v>58</v>
      </c>
      <c r="AQ123" s="3" t="s">
        <v>58</v>
      </c>
      <c r="AS123" s="6" t="str">
        <f>HYPERLINK("https://creighton-primo.hosted.exlibrisgroup.com/primo-explore/search?tab=default_tab&amp;search_scope=EVERYTHING&amp;vid=01CRU&amp;lang=en_US&amp;offset=0&amp;query=any,contains,991002259179702656","Catalog Record")</f>
        <v>Catalog Record</v>
      </c>
      <c r="AT123" s="6" t="str">
        <f>HYPERLINK("http://www.worldcat.org/oclc/29263947","WorldCat Record")</f>
        <v>WorldCat Record</v>
      </c>
      <c r="AU123" s="3" t="s">
        <v>1705</v>
      </c>
      <c r="AV123" s="3" t="s">
        <v>1706</v>
      </c>
      <c r="AW123" s="3" t="s">
        <v>1707</v>
      </c>
      <c r="AX123" s="3" t="s">
        <v>1707</v>
      </c>
      <c r="AY123" s="3" t="s">
        <v>1708</v>
      </c>
      <c r="AZ123" s="3" t="s">
        <v>73</v>
      </c>
      <c r="BB123" s="3" t="s">
        <v>1709</v>
      </c>
      <c r="BC123" s="3" t="s">
        <v>1710</v>
      </c>
      <c r="BD123" s="3" t="s">
        <v>1711</v>
      </c>
    </row>
    <row r="124" spans="1:56" ht="45" customHeight="1" x14ac:dyDescent="0.25">
      <c r="A124" s="8" t="s">
        <v>58</v>
      </c>
      <c r="B124" s="2" t="s">
        <v>1712</v>
      </c>
      <c r="C124" s="2" t="s">
        <v>1713</v>
      </c>
      <c r="D124" s="2" t="s">
        <v>1714</v>
      </c>
      <c r="F124" s="3" t="s">
        <v>58</v>
      </c>
      <c r="G124" s="3" t="s">
        <v>59</v>
      </c>
      <c r="H124" s="3" t="s">
        <v>58</v>
      </c>
      <c r="I124" s="3" t="s">
        <v>58</v>
      </c>
      <c r="J124" s="3" t="s">
        <v>60</v>
      </c>
      <c r="L124" s="2" t="s">
        <v>1715</v>
      </c>
      <c r="M124" s="3" t="s">
        <v>681</v>
      </c>
      <c r="O124" s="3" t="s">
        <v>64</v>
      </c>
      <c r="P124" s="3" t="s">
        <v>177</v>
      </c>
      <c r="R124" s="3" t="s">
        <v>66</v>
      </c>
      <c r="S124" s="4">
        <v>8</v>
      </c>
      <c r="T124" s="4">
        <v>8</v>
      </c>
      <c r="U124" s="5" t="s">
        <v>1716</v>
      </c>
      <c r="V124" s="5" t="s">
        <v>1716</v>
      </c>
      <c r="W124" s="5" t="s">
        <v>1717</v>
      </c>
      <c r="X124" s="5" t="s">
        <v>1717</v>
      </c>
      <c r="Y124" s="4">
        <v>202</v>
      </c>
      <c r="Z124" s="4">
        <v>159</v>
      </c>
      <c r="AA124" s="4">
        <v>160</v>
      </c>
      <c r="AB124" s="4">
        <v>2</v>
      </c>
      <c r="AC124" s="4">
        <v>2</v>
      </c>
      <c r="AD124" s="4">
        <v>5</v>
      </c>
      <c r="AE124" s="4">
        <v>5</v>
      </c>
      <c r="AF124" s="4">
        <v>2</v>
      </c>
      <c r="AG124" s="4">
        <v>2</v>
      </c>
      <c r="AH124" s="4">
        <v>0</v>
      </c>
      <c r="AI124" s="4">
        <v>0</v>
      </c>
      <c r="AJ124" s="4">
        <v>4</v>
      </c>
      <c r="AK124" s="4">
        <v>4</v>
      </c>
      <c r="AL124" s="4">
        <v>1</v>
      </c>
      <c r="AM124" s="4">
        <v>1</v>
      </c>
      <c r="AN124" s="4">
        <v>0</v>
      </c>
      <c r="AO124" s="4">
        <v>0</v>
      </c>
      <c r="AP124" s="3" t="s">
        <v>58</v>
      </c>
      <c r="AQ124" s="3" t="s">
        <v>58</v>
      </c>
      <c r="AS124" s="6" t="str">
        <f>HYPERLINK("https://creighton-primo.hosted.exlibrisgroup.com/primo-explore/search?tab=default_tab&amp;search_scope=EVERYTHING&amp;vid=01CRU&amp;lang=en_US&amp;offset=0&amp;query=any,contains,991000083789702656","Catalog Record")</f>
        <v>Catalog Record</v>
      </c>
      <c r="AT124" s="6" t="str">
        <f>HYPERLINK("http://www.worldcat.org/oclc/8846560","WorldCat Record")</f>
        <v>WorldCat Record</v>
      </c>
      <c r="AU124" s="3" t="s">
        <v>1718</v>
      </c>
      <c r="AV124" s="3" t="s">
        <v>1719</v>
      </c>
      <c r="AW124" s="3" t="s">
        <v>1720</v>
      </c>
      <c r="AX124" s="3" t="s">
        <v>1720</v>
      </c>
      <c r="AY124" s="3" t="s">
        <v>1721</v>
      </c>
      <c r="AZ124" s="3" t="s">
        <v>73</v>
      </c>
      <c r="BB124" s="3" t="s">
        <v>1722</v>
      </c>
      <c r="BC124" s="3" t="s">
        <v>1723</v>
      </c>
      <c r="BD124" s="3" t="s">
        <v>1724</v>
      </c>
    </row>
    <row r="125" spans="1:56" ht="45" customHeight="1" x14ac:dyDescent="0.25">
      <c r="A125" s="8" t="s">
        <v>58</v>
      </c>
      <c r="B125" s="2" t="s">
        <v>1725</v>
      </c>
      <c r="C125" s="2" t="s">
        <v>1726</v>
      </c>
      <c r="D125" s="2" t="s">
        <v>1727</v>
      </c>
      <c r="F125" s="3" t="s">
        <v>58</v>
      </c>
      <c r="G125" s="3" t="s">
        <v>59</v>
      </c>
      <c r="H125" s="3" t="s">
        <v>58</v>
      </c>
      <c r="I125" s="3" t="s">
        <v>68</v>
      </c>
      <c r="J125" s="3" t="s">
        <v>60</v>
      </c>
      <c r="K125" s="2" t="s">
        <v>1728</v>
      </c>
      <c r="L125" s="2" t="s">
        <v>1729</v>
      </c>
      <c r="M125" s="3" t="s">
        <v>1730</v>
      </c>
      <c r="N125" s="2" t="s">
        <v>567</v>
      </c>
      <c r="O125" s="3" t="s">
        <v>64</v>
      </c>
      <c r="P125" s="3" t="s">
        <v>1702</v>
      </c>
      <c r="R125" s="3" t="s">
        <v>66</v>
      </c>
      <c r="S125" s="4">
        <v>4</v>
      </c>
      <c r="T125" s="4">
        <v>4</v>
      </c>
      <c r="U125" s="5" t="s">
        <v>1731</v>
      </c>
      <c r="V125" s="5" t="s">
        <v>1731</v>
      </c>
      <c r="W125" s="5" t="s">
        <v>1704</v>
      </c>
      <c r="X125" s="5" t="s">
        <v>1704</v>
      </c>
      <c r="Y125" s="4">
        <v>59</v>
      </c>
      <c r="Z125" s="4">
        <v>46</v>
      </c>
      <c r="AA125" s="4">
        <v>112</v>
      </c>
      <c r="AB125" s="4">
        <v>2</v>
      </c>
      <c r="AC125" s="4">
        <v>3</v>
      </c>
      <c r="AD125" s="4">
        <v>2</v>
      </c>
      <c r="AE125" s="4">
        <v>4</v>
      </c>
      <c r="AF125" s="4">
        <v>1</v>
      </c>
      <c r="AG125" s="4">
        <v>2</v>
      </c>
      <c r="AH125" s="4">
        <v>0</v>
      </c>
      <c r="AI125" s="4">
        <v>0</v>
      </c>
      <c r="AJ125" s="4">
        <v>1</v>
      </c>
      <c r="AK125" s="4">
        <v>2</v>
      </c>
      <c r="AL125" s="4">
        <v>1</v>
      </c>
      <c r="AM125" s="4">
        <v>1</v>
      </c>
      <c r="AN125" s="4">
        <v>0</v>
      </c>
      <c r="AO125" s="4">
        <v>0</v>
      </c>
      <c r="AP125" s="3" t="s">
        <v>58</v>
      </c>
      <c r="AQ125" s="3" t="s">
        <v>68</v>
      </c>
      <c r="AR125" s="6" t="str">
        <f>HYPERLINK("http://catalog.hathitrust.org/Record/007064179","HathiTrust Record")</f>
        <v>HathiTrust Record</v>
      </c>
      <c r="AS125" s="6" t="str">
        <f>HYPERLINK("https://creighton-primo.hosted.exlibrisgroup.com/primo-explore/search?tab=default_tab&amp;search_scope=EVERYTHING&amp;vid=01CRU&amp;lang=en_US&amp;offset=0&amp;query=any,contains,991002432759702656","Catalog Record")</f>
        <v>Catalog Record</v>
      </c>
      <c r="AT125" s="6" t="str">
        <f>HYPERLINK("http://www.worldcat.org/oclc/31712304","WorldCat Record")</f>
        <v>WorldCat Record</v>
      </c>
      <c r="AU125" s="3" t="s">
        <v>1732</v>
      </c>
      <c r="AV125" s="3" t="s">
        <v>1733</v>
      </c>
      <c r="AW125" s="3" t="s">
        <v>1734</v>
      </c>
      <c r="AX125" s="3" t="s">
        <v>1734</v>
      </c>
      <c r="AY125" s="3" t="s">
        <v>1735</v>
      </c>
      <c r="AZ125" s="3" t="s">
        <v>73</v>
      </c>
      <c r="BB125" s="3" t="s">
        <v>1736</v>
      </c>
      <c r="BC125" s="3" t="s">
        <v>1737</v>
      </c>
      <c r="BD125" s="3" t="s">
        <v>1738</v>
      </c>
    </row>
    <row r="126" spans="1:56" ht="45" customHeight="1" x14ac:dyDescent="0.25">
      <c r="A126" s="8" t="s">
        <v>58</v>
      </c>
      <c r="B126" s="2" t="s">
        <v>1739</v>
      </c>
      <c r="C126" s="2" t="s">
        <v>1740</v>
      </c>
      <c r="D126" s="2" t="s">
        <v>1741</v>
      </c>
      <c r="F126" s="3" t="s">
        <v>58</v>
      </c>
      <c r="G126" s="3" t="s">
        <v>59</v>
      </c>
      <c r="H126" s="3" t="s">
        <v>58</v>
      </c>
      <c r="I126" s="3" t="s">
        <v>58</v>
      </c>
      <c r="J126" s="3" t="s">
        <v>60</v>
      </c>
      <c r="K126" s="2" t="s">
        <v>1742</v>
      </c>
      <c r="L126" s="2" t="s">
        <v>1743</v>
      </c>
      <c r="M126" s="3" t="s">
        <v>762</v>
      </c>
      <c r="O126" s="3" t="s">
        <v>64</v>
      </c>
      <c r="P126" s="3" t="s">
        <v>99</v>
      </c>
      <c r="R126" s="3" t="s">
        <v>66</v>
      </c>
      <c r="S126" s="4">
        <v>9</v>
      </c>
      <c r="T126" s="4">
        <v>9</v>
      </c>
      <c r="U126" s="5" t="s">
        <v>1744</v>
      </c>
      <c r="V126" s="5" t="s">
        <v>1744</v>
      </c>
      <c r="W126" s="5" t="s">
        <v>1397</v>
      </c>
      <c r="X126" s="5" t="s">
        <v>1397</v>
      </c>
      <c r="Y126" s="4">
        <v>257</v>
      </c>
      <c r="Z126" s="4">
        <v>221</v>
      </c>
      <c r="AA126" s="4">
        <v>228</v>
      </c>
      <c r="AB126" s="4">
        <v>3</v>
      </c>
      <c r="AC126" s="4">
        <v>3</v>
      </c>
      <c r="AD126" s="4">
        <v>7</v>
      </c>
      <c r="AE126" s="4">
        <v>7</v>
      </c>
      <c r="AF126" s="4">
        <v>1</v>
      </c>
      <c r="AG126" s="4">
        <v>1</v>
      </c>
      <c r="AH126" s="4">
        <v>1</v>
      </c>
      <c r="AI126" s="4">
        <v>1</v>
      </c>
      <c r="AJ126" s="4">
        <v>4</v>
      </c>
      <c r="AK126" s="4">
        <v>4</v>
      </c>
      <c r="AL126" s="4">
        <v>2</v>
      </c>
      <c r="AM126" s="4">
        <v>2</v>
      </c>
      <c r="AN126" s="4">
        <v>0</v>
      </c>
      <c r="AO126" s="4">
        <v>0</v>
      </c>
      <c r="AP126" s="3" t="s">
        <v>58</v>
      </c>
      <c r="AQ126" s="3" t="s">
        <v>68</v>
      </c>
      <c r="AR126" s="6" t="str">
        <f>HYPERLINK("http://catalog.hathitrust.org/Record/001570722","HathiTrust Record")</f>
        <v>HathiTrust Record</v>
      </c>
      <c r="AS126" s="6" t="str">
        <f>HYPERLINK("https://creighton-primo.hosted.exlibrisgroup.com/primo-explore/search?tab=default_tab&amp;search_scope=EVERYTHING&amp;vid=01CRU&amp;lang=en_US&amp;offset=0&amp;query=any,contains,991002324069702656","Catalog Record")</f>
        <v>Catalog Record</v>
      </c>
      <c r="AT126" s="6" t="str">
        <f>HYPERLINK("http://www.worldcat.org/oclc/320663","WorldCat Record")</f>
        <v>WorldCat Record</v>
      </c>
      <c r="AU126" s="3" t="s">
        <v>1745</v>
      </c>
      <c r="AV126" s="3" t="s">
        <v>1746</v>
      </c>
      <c r="AW126" s="3" t="s">
        <v>1747</v>
      </c>
      <c r="AX126" s="3" t="s">
        <v>1747</v>
      </c>
      <c r="AY126" s="3" t="s">
        <v>1748</v>
      </c>
      <c r="AZ126" s="3" t="s">
        <v>73</v>
      </c>
      <c r="BB126" s="3" t="s">
        <v>1749</v>
      </c>
      <c r="BC126" s="3" t="s">
        <v>1750</v>
      </c>
      <c r="BD126" s="3" t="s">
        <v>1751</v>
      </c>
    </row>
    <row r="127" spans="1:56" ht="45" customHeight="1" x14ac:dyDescent="0.25">
      <c r="A127" s="8" t="s">
        <v>58</v>
      </c>
      <c r="B127" s="2" t="s">
        <v>1752</v>
      </c>
      <c r="C127" s="2" t="s">
        <v>1753</v>
      </c>
      <c r="D127" s="2" t="s">
        <v>1754</v>
      </c>
      <c r="F127" s="3" t="s">
        <v>58</v>
      </c>
      <c r="G127" s="3" t="s">
        <v>59</v>
      </c>
      <c r="H127" s="3" t="s">
        <v>58</v>
      </c>
      <c r="I127" s="3" t="s">
        <v>58</v>
      </c>
      <c r="J127" s="3" t="s">
        <v>60</v>
      </c>
      <c r="K127" s="2" t="s">
        <v>1755</v>
      </c>
      <c r="L127" s="2" t="s">
        <v>620</v>
      </c>
      <c r="M127" s="3" t="s">
        <v>306</v>
      </c>
      <c r="O127" s="3" t="s">
        <v>64</v>
      </c>
      <c r="P127" s="3" t="s">
        <v>99</v>
      </c>
      <c r="R127" s="3" t="s">
        <v>66</v>
      </c>
      <c r="S127" s="4">
        <v>5</v>
      </c>
      <c r="T127" s="4">
        <v>5</v>
      </c>
      <c r="U127" s="5" t="s">
        <v>1744</v>
      </c>
      <c r="V127" s="5" t="s">
        <v>1744</v>
      </c>
      <c r="W127" s="5" t="s">
        <v>1397</v>
      </c>
      <c r="X127" s="5" t="s">
        <v>1397</v>
      </c>
      <c r="Y127" s="4">
        <v>279</v>
      </c>
      <c r="Z127" s="4">
        <v>234</v>
      </c>
      <c r="AA127" s="4">
        <v>243</v>
      </c>
      <c r="AB127" s="4">
        <v>4</v>
      </c>
      <c r="AC127" s="4">
        <v>4</v>
      </c>
      <c r="AD127" s="4">
        <v>7</v>
      </c>
      <c r="AE127" s="4">
        <v>7</v>
      </c>
      <c r="AF127" s="4">
        <v>3</v>
      </c>
      <c r="AG127" s="4">
        <v>3</v>
      </c>
      <c r="AH127" s="4">
        <v>0</v>
      </c>
      <c r="AI127" s="4">
        <v>0</v>
      </c>
      <c r="AJ127" s="4">
        <v>3</v>
      </c>
      <c r="AK127" s="4">
        <v>3</v>
      </c>
      <c r="AL127" s="4">
        <v>3</v>
      </c>
      <c r="AM127" s="4">
        <v>3</v>
      </c>
      <c r="AN127" s="4">
        <v>0</v>
      </c>
      <c r="AO127" s="4">
        <v>0</v>
      </c>
      <c r="AP127" s="3" t="s">
        <v>58</v>
      </c>
      <c r="AQ127" s="3" t="s">
        <v>68</v>
      </c>
      <c r="AR127" s="6" t="str">
        <f>HYPERLINK("http://catalog.hathitrust.org/Record/001570730","HathiTrust Record")</f>
        <v>HathiTrust Record</v>
      </c>
      <c r="AS127" s="6" t="str">
        <f>HYPERLINK("https://creighton-primo.hosted.exlibrisgroup.com/primo-explore/search?tab=default_tab&amp;search_scope=EVERYTHING&amp;vid=01CRU&amp;lang=en_US&amp;offset=0&amp;query=any,contains,991003075529702656","Catalog Record")</f>
        <v>Catalog Record</v>
      </c>
      <c r="AT127" s="6" t="str">
        <f>HYPERLINK("http://www.worldcat.org/oclc/628374","WorldCat Record")</f>
        <v>WorldCat Record</v>
      </c>
      <c r="AU127" s="3" t="s">
        <v>1756</v>
      </c>
      <c r="AV127" s="3" t="s">
        <v>1757</v>
      </c>
      <c r="AW127" s="3" t="s">
        <v>1758</v>
      </c>
      <c r="AX127" s="3" t="s">
        <v>1758</v>
      </c>
      <c r="AY127" s="3" t="s">
        <v>1759</v>
      </c>
      <c r="AZ127" s="3" t="s">
        <v>73</v>
      </c>
      <c r="BB127" s="3" t="s">
        <v>1760</v>
      </c>
      <c r="BC127" s="3" t="s">
        <v>1761</v>
      </c>
      <c r="BD127" s="3" t="s">
        <v>1762</v>
      </c>
    </row>
    <row r="128" spans="1:56" ht="45" customHeight="1" x14ac:dyDescent="0.25">
      <c r="A128" s="8" t="s">
        <v>58</v>
      </c>
      <c r="B128" s="2" t="s">
        <v>1763</v>
      </c>
      <c r="C128" s="2" t="s">
        <v>1764</v>
      </c>
      <c r="D128" s="2" t="s">
        <v>1765</v>
      </c>
      <c r="F128" s="3" t="s">
        <v>58</v>
      </c>
      <c r="G128" s="3" t="s">
        <v>59</v>
      </c>
      <c r="H128" s="3" t="s">
        <v>58</v>
      </c>
      <c r="I128" s="3" t="s">
        <v>58</v>
      </c>
      <c r="J128" s="3" t="s">
        <v>60</v>
      </c>
      <c r="K128" s="2" t="s">
        <v>1766</v>
      </c>
      <c r="L128" s="2" t="s">
        <v>1767</v>
      </c>
      <c r="M128" s="3" t="s">
        <v>1768</v>
      </c>
      <c r="O128" s="3" t="s">
        <v>64</v>
      </c>
      <c r="P128" s="3" t="s">
        <v>99</v>
      </c>
      <c r="Q128" s="2" t="s">
        <v>1769</v>
      </c>
      <c r="R128" s="3" t="s">
        <v>66</v>
      </c>
      <c r="S128" s="4">
        <v>2</v>
      </c>
      <c r="T128" s="4">
        <v>2</v>
      </c>
      <c r="U128" s="5" t="s">
        <v>1770</v>
      </c>
      <c r="V128" s="5" t="s">
        <v>1770</v>
      </c>
      <c r="W128" s="5" t="s">
        <v>1771</v>
      </c>
      <c r="X128" s="5" t="s">
        <v>1771</v>
      </c>
      <c r="Y128" s="4">
        <v>365</v>
      </c>
      <c r="Z128" s="4">
        <v>319</v>
      </c>
      <c r="AA128" s="4">
        <v>325</v>
      </c>
      <c r="AB128" s="4">
        <v>5</v>
      </c>
      <c r="AC128" s="4">
        <v>5</v>
      </c>
      <c r="AD128" s="4">
        <v>13</v>
      </c>
      <c r="AE128" s="4">
        <v>13</v>
      </c>
      <c r="AF128" s="4">
        <v>3</v>
      </c>
      <c r="AG128" s="4">
        <v>3</v>
      </c>
      <c r="AH128" s="4">
        <v>3</v>
      </c>
      <c r="AI128" s="4">
        <v>3</v>
      </c>
      <c r="AJ128" s="4">
        <v>6</v>
      </c>
      <c r="AK128" s="4">
        <v>6</v>
      </c>
      <c r="AL128" s="4">
        <v>3</v>
      </c>
      <c r="AM128" s="4">
        <v>3</v>
      </c>
      <c r="AN128" s="4">
        <v>0</v>
      </c>
      <c r="AO128" s="4">
        <v>0</v>
      </c>
      <c r="AP128" s="3" t="s">
        <v>58</v>
      </c>
      <c r="AQ128" s="3" t="s">
        <v>68</v>
      </c>
      <c r="AR128" s="6" t="str">
        <f>HYPERLINK("http://catalog.hathitrust.org/Record/000881296","HathiTrust Record")</f>
        <v>HathiTrust Record</v>
      </c>
      <c r="AS128" s="6" t="str">
        <f>HYPERLINK("https://creighton-primo.hosted.exlibrisgroup.com/primo-explore/search?tab=default_tab&amp;search_scope=EVERYTHING&amp;vid=01CRU&amp;lang=en_US&amp;offset=0&amp;query=any,contains,991005253329702656","Catalog Record")</f>
        <v>Catalog Record</v>
      </c>
      <c r="AT128" s="6" t="str">
        <f>HYPERLINK("http://www.worldcat.org/oclc/407130","WorldCat Record")</f>
        <v>WorldCat Record</v>
      </c>
      <c r="AU128" s="3" t="s">
        <v>1772</v>
      </c>
      <c r="AV128" s="3" t="s">
        <v>1773</v>
      </c>
      <c r="AW128" s="3" t="s">
        <v>1774</v>
      </c>
      <c r="AX128" s="3" t="s">
        <v>1774</v>
      </c>
      <c r="AY128" s="3" t="s">
        <v>1775</v>
      </c>
      <c r="AZ128" s="3" t="s">
        <v>73</v>
      </c>
      <c r="BC128" s="3" t="s">
        <v>1776</v>
      </c>
      <c r="BD128" s="3" t="s">
        <v>1777</v>
      </c>
    </row>
    <row r="129" spans="1:56" ht="45" customHeight="1" x14ac:dyDescent="0.25">
      <c r="A129" s="8" t="s">
        <v>58</v>
      </c>
      <c r="B129" s="2" t="s">
        <v>1778</v>
      </c>
      <c r="C129" s="2" t="s">
        <v>1779</v>
      </c>
      <c r="D129" s="2" t="s">
        <v>1780</v>
      </c>
      <c r="F129" s="3" t="s">
        <v>58</v>
      </c>
      <c r="G129" s="3" t="s">
        <v>59</v>
      </c>
      <c r="H129" s="3" t="s">
        <v>58</v>
      </c>
      <c r="I129" s="3" t="s">
        <v>58</v>
      </c>
      <c r="J129" s="3" t="s">
        <v>60</v>
      </c>
      <c r="K129" s="2" t="s">
        <v>1781</v>
      </c>
      <c r="L129" s="2" t="s">
        <v>1782</v>
      </c>
      <c r="M129" s="3" t="s">
        <v>129</v>
      </c>
      <c r="O129" s="3" t="s">
        <v>64</v>
      </c>
      <c r="P129" s="3" t="s">
        <v>99</v>
      </c>
      <c r="R129" s="3" t="s">
        <v>66</v>
      </c>
      <c r="S129" s="4">
        <v>3</v>
      </c>
      <c r="T129" s="4">
        <v>3</v>
      </c>
      <c r="U129" s="5" t="s">
        <v>1640</v>
      </c>
      <c r="V129" s="5" t="s">
        <v>1640</v>
      </c>
      <c r="W129" s="5" t="s">
        <v>1783</v>
      </c>
      <c r="X129" s="5" t="s">
        <v>1783</v>
      </c>
      <c r="Y129" s="4">
        <v>151</v>
      </c>
      <c r="Z129" s="4">
        <v>136</v>
      </c>
      <c r="AA129" s="4">
        <v>136</v>
      </c>
      <c r="AB129" s="4">
        <v>2</v>
      </c>
      <c r="AC129" s="4">
        <v>2</v>
      </c>
      <c r="AD129" s="4">
        <v>2</v>
      </c>
      <c r="AE129" s="4">
        <v>2</v>
      </c>
      <c r="AF129" s="4">
        <v>1</v>
      </c>
      <c r="AG129" s="4">
        <v>1</v>
      </c>
      <c r="AH129" s="4">
        <v>0</v>
      </c>
      <c r="AI129" s="4">
        <v>0</v>
      </c>
      <c r="AJ129" s="4">
        <v>0</v>
      </c>
      <c r="AK129" s="4">
        <v>0</v>
      </c>
      <c r="AL129" s="4">
        <v>1</v>
      </c>
      <c r="AM129" s="4">
        <v>1</v>
      </c>
      <c r="AN129" s="4">
        <v>0</v>
      </c>
      <c r="AO129" s="4">
        <v>0</v>
      </c>
      <c r="AP129" s="3" t="s">
        <v>58</v>
      </c>
      <c r="AQ129" s="3" t="s">
        <v>58</v>
      </c>
      <c r="AS129" s="6" t="str">
        <f>HYPERLINK("https://creighton-primo.hosted.exlibrisgroup.com/primo-explore/search?tab=default_tab&amp;search_scope=EVERYTHING&amp;vid=01CRU&amp;lang=en_US&amp;offset=0&amp;query=any,contains,991003914829702656","Catalog Record")</f>
        <v>Catalog Record</v>
      </c>
      <c r="AT129" s="6" t="str">
        <f>HYPERLINK("http://www.worldcat.org/oclc/1858400","WorldCat Record")</f>
        <v>WorldCat Record</v>
      </c>
      <c r="AU129" s="3" t="s">
        <v>1784</v>
      </c>
      <c r="AV129" s="3" t="s">
        <v>1785</v>
      </c>
      <c r="AW129" s="3" t="s">
        <v>1786</v>
      </c>
      <c r="AX129" s="3" t="s">
        <v>1786</v>
      </c>
      <c r="AY129" s="3" t="s">
        <v>1787</v>
      </c>
      <c r="AZ129" s="3" t="s">
        <v>73</v>
      </c>
      <c r="BB129" s="3" t="s">
        <v>1788</v>
      </c>
      <c r="BC129" s="3" t="s">
        <v>1789</v>
      </c>
      <c r="BD129" s="3" t="s">
        <v>1790</v>
      </c>
    </row>
    <row r="130" spans="1:56" ht="45" customHeight="1" x14ac:dyDescent="0.25">
      <c r="A130" s="8" t="s">
        <v>58</v>
      </c>
      <c r="B130" s="2" t="s">
        <v>1791</v>
      </c>
      <c r="C130" s="2" t="s">
        <v>1792</v>
      </c>
      <c r="D130" s="2" t="s">
        <v>1793</v>
      </c>
      <c r="F130" s="3" t="s">
        <v>58</v>
      </c>
      <c r="G130" s="3" t="s">
        <v>59</v>
      </c>
      <c r="H130" s="3" t="s">
        <v>58</v>
      </c>
      <c r="I130" s="3" t="s">
        <v>68</v>
      </c>
      <c r="J130" s="3" t="s">
        <v>60</v>
      </c>
      <c r="K130" s="2" t="s">
        <v>1794</v>
      </c>
      <c r="L130" s="2" t="s">
        <v>983</v>
      </c>
      <c r="M130" s="3" t="s">
        <v>129</v>
      </c>
      <c r="O130" s="3" t="s">
        <v>64</v>
      </c>
      <c r="P130" s="3" t="s">
        <v>984</v>
      </c>
      <c r="R130" s="3" t="s">
        <v>66</v>
      </c>
      <c r="S130" s="4">
        <v>6</v>
      </c>
      <c r="T130" s="4">
        <v>6</v>
      </c>
      <c r="U130" s="5" t="s">
        <v>1795</v>
      </c>
      <c r="V130" s="5" t="s">
        <v>1795</v>
      </c>
      <c r="W130" s="5" t="s">
        <v>1796</v>
      </c>
      <c r="X130" s="5" t="s">
        <v>1796</v>
      </c>
      <c r="Y130" s="4">
        <v>278</v>
      </c>
      <c r="Z130" s="4">
        <v>227</v>
      </c>
      <c r="AA130" s="4">
        <v>346</v>
      </c>
      <c r="AB130" s="4">
        <v>3</v>
      </c>
      <c r="AC130" s="4">
        <v>4</v>
      </c>
      <c r="AD130" s="4">
        <v>7</v>
      </c>
      <c r="AE130" s="4">
        <v>9</v>
      </c>
      <c r="AF130" s="4">
        <v>4</v>
      </c>
      <c r="AG130" s="4">
        <v>4</v>
      </c>
      <c r="AH130" s="4">
        <v>0</v>
      </c>
      <c r="AI130" s="4">
        <v>0</v>
      </c>
      <c r="AJ130" s="4">
        <v>2</v>
      </c>
      <c r="AK130" s="4">
        <v>3</v>
      </c>
      <c r="AL130" s="4">
        <v>2</v>
      </c>
      <c r="AM130" s="4">
        <v>3</v>
      </c>
      <c r="AN130" s="4">
        <v>0</v>
      </c>
      <c r="AO130" s="4">
        <v>0</v>
      </c>
      <c r="AP130" s="3" t="s">
        <v>58</v>
      </c>
      <c r="AQ130" s="3" t="s">
        <v>68</v>
      </c>
      <c r="AR130" s="6" t="str">
        <f>HYPERLINK("http://catalog.hathitrust.org/Record/000691321","HathiTrust Record")</f>
        <v>HathiTrust Record</v>
      </c>
      <c r="AS130" s="6" t="str">
        <f>HYPERLINK("https://creighton-primo.hosted.exlibrisgroup.com/primo-explore/search?tab=default_tab&amp;search_scope=EVERYTHING&amp;vid=01CRU&amp;lang=en_US&amp;offset=0&amp;query=any,contains,991003991999702656","Catalog Record")</f>
        <v>Catalog Record</v>
      </c>
      <c r="AT130" s="6" t="str">
        <f>HYPERLINK("http://www.worldcat.org/oclc/2048218","WorldCat Record")</f>
        <v>WorldCat Record</v>
      </c>
      <c r="AU130" s="3" t="s">
        <v>1797</v>
      </c>
      <c r="AV130" s="3" t="s">
        <v>1798</v>
      </c>
      <c r="AW130" s="3" t="s">
        <v>1799</v>
      </c>
      <c r="AX130" s="3" t="s">
        <v>1799</v>
      </c>
      <c r="AY130" s="3" t="s">
        <v>1800</v>
      </c>
      <c r="AZ130" s="3" t="s">
        <v>73</v>
      </c>
      <c r="BB130" s="3" t="s">
        <v>1801</v>
      </c>
      <c r="BC130" s="3" t="s">
        <v>1802</v>
      </c>
      <c r="BD130" s="3" t="s">
        <v>1803</v>
      </c>
    </row>
    <row r="131" spans="1:56" ht="45" customHeight="1" x14ac:dyDescent="0.25">
      <c r="A131" s="8" t="s">
        <v>58</v>
      </c>
      <c r="B131" s="2" t="s">
        <v>1804</v>
      </c>
      <c r="C131" s="2" t="s">
        <v>1805</v>
      </c>
      <c r="D131" s="2" t="s">
        <v>1806</v>
      </c>
      <c r="F131" s="3" t="s">
        <v>58</v>
      </c>
      <c r="G131" s="3" t="s">
        <v>59</v>
      </c>
      <c r="H131" s="3" t="s">
        <v>58</v>
      </c>
      <c r="I131" s="3" t="s">
        <v>68</v>
      </c>
      <c r="J131" s="3" t="s">
        <v>60</v>
      </c>
      <c r="K131" s="2" t="s">
        <v>1794</v>
      </c>
      <c r="L131" s="2" t="s">
        <v>1807</v>
      </c>
      <c r="M131" s="3" t="s">
        <v>291</v>
      </c>
      <c r="N131" s="2" t="s">
        <v>875</v>
      </c>
      <c r="O131" s="3" t="s">
        <v>64</v>
      </c>
      <c r="P131" s="3" t="s">
        <v>984</v>
      </c>
      <c r="R131" s="3" t="s">
        <v>66</v>
      </c>
      <c r="S131" s="4">
        <v>11</v>
      </c>
      <c r="T131" s="4">
        <v>11</v>
      </c>
      <c r="U131" s="5" t="s">
        <v>1808</v>
      </c>
      <c r="V131" s="5" t="s">
        <v>1808</v>
      </c>
      <c r="W131" s="5" t="s">
        <v>380</v>
      </c>
      <c r="X131" s="5" t="s">
        <v>380</v>
      </c>
      <c r="Y131" s="4">
        <v>242</v>
      </c>
      <c r="Z131" s="4">
        <v>191</v>
      </c>
      <c r="AA131" s="4">
        <v>346</v>
      </c>
      <c r="AB131" s="4">
        <v>4</v>
      </c>
      <c r="AC131" s="4">
        <v>4</v>
      </c>
      <c r="AD131" s="4">
        <v>4</v>
      </c>
      <c r="AE131" s="4">
        <v>9</v>
      </c>
      <c r="AF131" s="4">
        <v>0</v>
      </c>
      <c r="AG131" s="4">
        <v>4</v>
      </c>
      <c r="AH131" s="4">
        <v>0</v>
      </c>
      <c r="AI131" s="4">
        <v>0</v>
      </c>
      <c r="AJ131" s="4">
        <v>1</v>
      </c>
      <c r="AK131" s="4">
        <v>3</v>
      </c>
      <c r="AL131" s="4">
        <v>3</v>
      </c>
      <c r="AM131" s="4">
        <v>3</v>
      </c>
      <c r="AN131" s="4">
        <v>0</v>
      </c>
      <c r="AO131" s="4">
        <v>0</v>
      </c>
      <c r="AP131" s="3" t="s">
        <v>58</v>
      </c>
      <c r="AQ131" s="3" t="s">
        <v>58</v>
      </c>
      <c r="AS131" s="6" t="str">
        <f>HYPERLINK("https://creighton-primo.hosted.exlibrisgroup.com/primo-explore/search?tab=default_tab&amp;search_scope=EVERYTHING&amp;vid=01CRU&amp;lang=en_US&amp;offset=0&amp;query=any,contains,991005067559702656","Catalog Record")</f>
        <v>Catalog Record</v>
      </c>
      <c r="AT131" s="6" t="str">
        <f>HYPERLINK("http://www.worldcat.org/oclc/6981807","WorldCat Record")</f>
        <v>WorldCat Record</v>
      </c>
      <c r="AU131" s="3" t="s">
        <v>1797</v>
      </c>
      <c r="AV131" s="3" t="s">
        <v>1809</v>
      </c>
      <c r="AW131" s="3" t="s">
        <v>1810</v>
      </c>
      <c r="AX131" s="3" t="s">
        <v>1810</v>
      </c>
      <c r="AY131" s="3" t="s">
        <v>1811</v>
      </c>
      <c r="AZ131" s="3" t="s">
        <v>73</v>
      </c>
      <c r="BB131" s="3" t="s">
        <v>1812</v>
      </c>
      <c r="BC131" s="3" t="s">
        <v>1813</v>
      </c>
      <c r="BD131" s="3" t="s">
        <v>1814</v>
      </c>
    </row>
    <row r="132" spans="1:56" ht="45" customHeight="1" x14ac:dyDescent="0.25">
      <c r="A132" s="8" t="s">
        <v>58</v>
      </c>
      <c r="B132" s="2" t="s">
        <v>1815</v>
      </c>
      <c r="C132" s="2" t="s">
        <v>1816</v>
      </c>
      <c r="D132" s="2" t="s">
        <v>1817</v>
      </c>
      <c r="F132" s="3" t="s">
        <v>58</v>
      </c>
      <c r="G132" s="3" t="s">
        <v>59</v>
      </c>
      <c r="H132" s="3" t="s">
        <v>58</v>
      </c>
      <c r="I132" s="3" t="s">
        <v>58</v>
      </c>
      <c r="J132" s="3" t="s">
        <v>60</v>
      </c>
      <c r="L132" s="2" t="s">
        <v>1818</v>
      </c>
      <c r="M132" s="3" t="s">
        <v>407</v>
      </c>
      <c r="O132" s="3" t="s">
        <v>64</v>
      </c>
      <c r="P132" s="3" t="s">
        <v>177</v>
      </c>
      <c r="R132" s="3" t="s">
        <v>66</v>
      </c>
      <c r="S132" s="4">
        <v>3</v>
      </c>
      <c r="T132" s="4">
        <v>3</v>
      </c>
      <c r="U132" s="5" t="s">
        <v>1819</v>
      </c>
      <c r="V132" s="5" t="s">
        <v>1819</v>
      </c>
      <c r="W132" s="5" t="s">
        <v>236</v>
      </c>
      <c r="X132" s="5" t="s">
        <v>236</v>
      </c>
      <c r="Y132" s="4">
        <v>177</v>
      </c>
      <c r="Z132" s="4">
        <v>153</v>
      </c>
      <c r="AA132" s="4">
        <v>155</v>
      </c>
      <c r="AB132" s="4">
        <v>2</v>
      </c>
      <c r="AC132" s="4">
        <v>2</v>
      </c>
      <c r="AD132" s="4">
        <v>4</v>
      </c>
      <c r="AE132" s="4">
        <v>4</v>
      </c>
      <c r="AF132" s="4">
        <v>0</v>
      </c>
      <c r="AG132" s="4">
        <v>0</v>
      </c>
      <c r="AH132" s="4">
        <v>0</v>
      </c>
      <c r="AI132" s="4">
        <v>0</v>
      </c>
      <c r="AJ132" s="4">
        <v>3</v>
      </c>
      <c r="AK132" s="4">
        <v>3</v>
      </c>
      <c r="AL132" s="4">
        <v>1</v>
      </c>
      <c r="AM132" s="4">
        <v>1</v>
      </c>
      <c r="AN132" s="4">
        <v>0</v>
      </c>
      <c r="AO132" s="4">
        <v>0</v>
      </c>
      <c r="AP132" s="3" t="s">
        <v>58</v>
      </c>
      <c r="AQ132" s="3" t="s">
        <v>68</v>
      </c>
      <c r="AR132" s="6" t="str">
        <f>HYPERLINK("http://catalog.hathitrust.org/Record/000250534","HathiTrust Record")</f>
        <v>HathiTrust Record</v>
      </c>
      <c r="AS132" s="6" t="str">
        <f>HYPERLINK("https://creighton-primo.hosted.exlibrisgroup.com/primo-explore/search?tab=default_tab&amp;search_scope=EVERYTHING&amp;vid=01CRU&amp;lang=en_US&amp;offset=0&amp;query=any,contains,991004308079702656","Catalog Record")</f>
        <v>Catalog Record</v>
      </c>
      <c r="AT132" s="6" t="str">
        <f>HYPERLINK("http://www.worldcat.org/oclc/2985035","WorldCat Record")</f>
        <v>WorldCat Record</v>
      </c>
      <c r="AU132" s="3" t="s">
        <v>1820</v>
      </c>
      <c r="AV132" s="3" t="s">
        <v>1821</v>
      </c>
      <c r="AW132" s="3" t="s">
        <v>1822</v>
      </c>
      <c r="AX132" s="3" t="s">
        <v>1822</v>
      </c>
      <c r="AY132" s="3" t="s">
        <v>1823</v>
      </c>
      <c r="AZ132" s="3" t="s">
        <v>73</v>
      </c>
      <c r="BB132" s="3" t="s">
        <v>1824</v>
      </c>
      <c r="BC132" s="3" t="s">
        <v>1825</v>
      </c>
      <c r="BD132" s="3" t="s">
        <v>1826</v>
      </c>
    </row>
    <row r="133" spans="1:56" ht="45" customHeight="1" x14ac:dyDescent="0.25">
      <c r="A133" s="8" t="s">
        <v>58</v>
      </c>
      <c r="B133" s="2" t="s">
        <v>1827</v>
      </c>
      <c r="C133" s="2" t="s">
        <v>1828</v>
      </c>
      <c r="D133" s="2" t="s">
        <v>1829</v>
      </c>
      <c r="F133" s="3" t="s">
        <v>58</v>
      </c>
      <c r="G133" s="3" t="s">
        <v>59</v>
      </c>
      <c r="H133" s="3" t="s">
        <v>68</v>
      </c>
      <c r="I133" s="3" t="s">
        <v>58</v>
      </c>
      <c r="J133" s="3" t="s">
        <v>60</v>
      </c>
      <c r="K133" s="2" t="s">
        <v>1830</v>
      </c>
      <c r="L133" s="2" t="s">
        <v>707</v>
      </c>
      <c r="M133" s="3" t="s">
        <v>480</v>
      </c>
      <c r="O133" s="3" t="s">
        <v>64</v>
      </c>
      <c r="P133" s="3" t="s">
        <v>191</v>
      </c>
      <c r="R133" s="3" t="s">
        <v>66</v>
      </c>
      <c r="S133" s="4">
        <v>1</v>
      </c>
      <c r="T133" s="4">
        <v>10</v>
      </c>
      <c r="V133" s="5" t="s">
        <v>1831</v>
      </c>
      <c r="W133" s="5" t="s">
        <v>1832</v>
      </c>
      <c r="X133" s="5" t="s">
        <v>1832</v>
      </c>
      <c r="Y133" s="4">
        <v>162</v>
      </c>
      <c r="Z133" s="4">
        <v>142</v>
      </c>
      <c r="AA133" s="4">
        <v>238</v>
      </c>
      <c r="AB133" s="4">
        <v>2</v>
      </c>
      <c r="AC133" s="4">
        <v>2</v>
      </c>
      <c r="AD133" s="4">
        <v>2</v>
      </c>
      <c r="AE133" s="4">
        <v>2</v>
      </c>
      <c r="AF133" s="4">
        <v>2</v>
      </c>
      <c r="AG133" s="4">
        <v>2</v>
      </c>
      <c r="AH133" s="4">
        <v>1</v>
      </c>
      <c r="AI133" s="4">
        <v>1</v>
      </c>
      <c r="AJ133" s="4">
        <v>1</v>
      </c>
      <c r="AK133" s="4">
        <v>1</v>
      </c>
      <c r="AL133" s="4">
        <v>0</v>
      </c>
      <c r="AM133" s="4">
        <v>0</v>
      </c>
      <c r="AN133" s="4">
        <v>0</v>
      </c>
      <c r="AO133" s="4">
        <v>0</v>
      </c>
      <c r="AP133" s="3" t="s">
        <v>58</v>
      </c>
      <c r="AQ133" s="3" t="s">
        <v>58</v>
      </c>
      <c r="AS133" s="6" t="str">
        <f>HYPERLINK("https://creighton-primo.hosted.exlibrisgroup.com/primo-explore/search?tab=default_tab&amp;search_scope=EVERYTHING&amp;vid=01CRU&amp;lang=en_US&amp;offset=0&amp;query=any,contains,991001791109702656","Catalog Record")</f>
        <v>Catalog Record</v>
      </c>
      <c r="AT133" s="6" t="str">
        <f>HYPERLINK("http://www.worldcat.org/oclc/8763040","WorldCat Record")</f>
        <v>WorldCat Record</v>
      </c>
      <c r="AU133" s="3" t="s">
        <v>1833</v>
      </c>
      <c r="AV133" s="3" t="s">
        <v>1834</v>
      </c>
      <c r="AW133" s="3" t="s">
        <v>1835</v>
      </c>
      <c r="AX133" s="3" t="s">
        <v>1835</v>
      </c>
      <c r="AY133" s="3" t="s">
        <v>1836</v>
      </c>
      <c r="AZ133" s="3" t="s">
        <v>73</v>
      </c>
      <c r="BB133" s="3" t="s">
        <v>1837</v>
      </c>
      <c r="BC133" s="3" t="s">
        <v>1838</v>
      </c>
      <c r="BD133" s="3" t="s">
        <v>1839</v>
      </c>
    </row>
    <row r="134" spans="1:56" ht="45" customHeight="1" x14ac:dyDescent="0.25">
      <c r="A134" s="8" t="s">
        <v>58</v>
      </c>
      <c r="B134" s="2" t="s">
        <v>1840</v>
      </c>
      <c r="C134" s="2" t="s">
        <v>1841</v>
      </c>
      <c r="D134" s="2" t="s">
        <v>1842</v>
      </c>
      <c r="F134" s="3" t="s">
        <v>58</v>
      </c>
      <c r="G134" s="3" t="s">
        <v>59</v>
      </c>
      <c r="H134" s="3" t="s">
        <v>58</v>
      </c>
      <c r="I134" s="3" t="s">
        <v>58</v>
      </c>
      <c r="J134" s="3" t="s">
        <v>60</v>
      </c>
      <c r="K134" s="2" t="s">
        <v>1843</v>
      </c>
      <c r="L134" s="2" t="s">
        <v>1844</v>
      </c>
      <c r="M134" s="3" t="s">
        <v>365</v>
      </c>
      <c r="O134" s="3" t="s">
        <v>64</v>
      </c>
      <c r="P134" s="3" t="s">
        <v>177</v>
      </c>
      <c r="Q134" s="2" t="s">
        <v>1845</v>
      </c>
      <c r="R134" s="3" t="s">
        <v>66</v>
      </c>
      <c r="S134" s="4">
        <v>8</v>
      </c>
      <c r="T134" s="4">
        <v>8</v>
      </c>
      <c r="U134" s="5" t="s">
        <v>1846</v>
      </c>
      <c r="V134" s="5" t="s">
        <v>1846</v>
      </c>
      <c r="W134" s="5" t="s">
        <v>1847</v>
      </c>
      <c r="X134" s="5" t="s">
        <v>1847</v>
      </c>
      <c r="Y134" s="4">
        <v>139</v>
      </c>
      <c r="Z134" s="4">
        <v>113</v>
      </c>
      <c r="AA134" s="4">
        <v>116</v>
      </c>
      <c r="AB134" s="4">
        <v>1</v>
      </c>
      <c r="AC134" s="4">
        <v>1</v>
      </c>
      <c r="AD134" s="4">
        <v>4</v>
      </c>
      <c r="AE134" s="4">
        <v>4</v>
      </c>
      <c r="AF134" s="4">
        <v>0</v>
      </c>
      <c r="AG134" s="4">
        <v>0</v>
      </c>
      <c r="AH134" s="4">
        <v>1</v>
      </c>
      <c r="AI134" s="4">
        <v>1</v>
      </c>
      <c r="AJ134" s="4">
        <v>3</v>
      </c>
      <c r="AK134" s="4">
        <v>3</v>
      </c>
      <c r="AL134" s="4">
        <v>0</v>
      </c>
      <c r="AM134" s="4">
        <v>0</v>
      </c>
      <c r="AN134" s="4">
        <v>0</v>
      </c>
      <c r="AO134" s="4">
        <v>0</v>
      </c>
      <c r="AP134" s="3" t="s">
        <v>58</v>
      </c>
      <c r="AQ134" s="3" t="s">
        <v>68</v>
      </c>
      <c r="AR134" s="6" t="str">
        <f>HYPERLINK("http://catalog.hathitrust.org/Record/007561464","HathiTrust Record")</f>
        <v>HathiTrust Record</v>
      </c>
      <c r="AS134" s="6" t="str">
        <f>HYPERLINK("https://creighton-primo.hosted.exlibrisgroup.com/primo-explore/search?tab=default_tab&amp;search_scope=EVERYTHING&amp;vid=01CRU&amp;lang=en_US&amp;offset=0&amp;query=any,contains,991000662399702656","Catalog Record")</f>
        <v>Catalog Record</v>
      </c>
      <c r="AT134" s="6" t="str">
        <f>HYPERLINK("http://www.worldcat.org/oclc/117446","WorldCat Record")</f>
        <v>WorldCat Record</v>
      </c>
      <c r="AU134" s="3" t="s">
        <v>1848</v>
      </c>
      <c r="AV134" s="3" t="s">
        <v>1849</v>
      </c>
      <c r="AW134" s="3" t="s">
        <v>1850</v>
      </c>
      <c r="AX134" s="3" t="s">
        <v>1850</v>
      </c>
      <c r="AY134" s="3" t="s">
        <v>1851</v>
      </c>
      <c r="AZ134" s="3" t="s">
        <v>73</v>
      </c>
      <c r="BB134" s="3" t="s">
        <v>1852</v>
      </c>
      <c r="BC134" s="3" t="s">
        <v>1853</v>
      </c>
      <c r="BD134" s="3" t="s">
        <v>1854</v>
      </c>
    </row>
    <row r="135" spans="1:56" ht="45" customHeight="1" x14ac:dyDescent="0.25">
      <c r="A135" s="8" t="s">
        <v>58</v>
      </c>
      <c r="B135" s="2" t="s">
        <v>1855</v>
      </c>
      <c r="C135" s="2" t="s">
        <v>1856</v>
      </c>
      <c r="D135" s="2" t="s">
        <v>1857</v>
      </c>
      <c r="F135" s="3" t="s">
        <v>58</v>
      </c>
      <c r="G135" s="3" t="s">
        <v>59</v>
      </c>
      <c r="H135" s="3" t="s">
        <v>58</v>
      </c>
      <c r="I135" s="3" t="s">
        <v>58</v>
      </c>
      <c r="J135" s="3" t="s">
        <v>60</v>
      </c>
      <c r="L135" s="2" t="s">
        <v>1858</v>
      </c>
      <c r="M135" s="3" t="s">
        <v>378</v>
      </c>
      <c r="O135" s="3" t="s">
        <v>64</v>
      </c>
      <c r="P135" s="3" t="s">
        <v>65</v>
      </c>
      <c r="Q135" s="2" t="s">
        <v>1859</v>
      </c>
      <c r="R135" s="3" t="s">
        <v>66</v>
      </c>
      <c r="S135" s="4">
        <v>12</v>
      </c>
      <c r="T135" s="4">
        <v>12</v>
      </c>
      <c r="U135" s="5" t="s">
        <v>1860</v>
      </c>
      <c r="V135" s="5" t="s">
        <v>1860</v>
      </c>
      <c r="W135" s="5" t="s">
        <v>904</v>
      </c>
      <c r="X135" s="5" t="s">
        <v>904</v>
      </c>
      <c r="Y135" s="4">
        <v>300</v>
      </c>
      <c r="Z135" s="4">
        <v>267</v>
      </c>
      <c r="AA135" s="4">
        <v>285</v>
      </c>
      <c r="AB135" s="4">
        <v>5</v>
      </c>
      <c r="AC135" s="4">
        <v>5</v>
      </c>
      <c r="AD135" s="4">
        <v>12</v>
      </c>
      <c r="AE135" s="4">
        <v>12</v>
      </c>
      <c r="AF135" s="4">
        <v>3</v>
      </c>
      <c r="AG135" s="4">
        <v>3</v>
      </c>
      <c r="AH135" s="4">
        <v>2</v>
      </c>
      <c r="AI135" s="4">
        <v>2</v>
      </c>
      <c r="AJ135" s="4">
        <v>4</v>
      </c>
      <c r="AK135" s="4">
        <v>4</v>
      </c>
      <c r="AL135" s="4">
        <v>4</v>
      </c>
      <c r="AM135" s="4">
        <v>4</v>
      </c>
      <c r="AN135" s="4">
        <v>0</v>
      </c>
      <c r="AO135" s="4">
        <v>0</v>
      </c>
      <c r="AP135" s="3" t="s">
        <v>58</v>
      </c>
      <c r="AQ135" s="3" t="s">
        <v>58</v>
      </c>
      <c r="AS135" s="6" t="str">
        <f>HYPERLINK("https://creighton-primo.hosted.exlibrisgroup.com/primo-explore/search?tab=default_tab&amp;search_scope=EVERYTHING&amp;vid=01CRU&amp;lang=en_US&amp;offset=0&amp;query=any,contains,991000546719702656","Catalog Record")</f>
        <v>Catalog Record</v>
      </c>
      <c r="AT135" s="6" t="str">
        <f>HYPERLINK("http://www.worldcat.org/oclc/11518735","WorldCat Record")</f>
        <v>WorldCat Record</v>
      </c>
      <c r="AU135" s="3" t="s">
        <v>1861</v>
      </c>
      <c r="AV135" s="3" t="s">
        <v>1862</v>
      </c>
      <c r="AW135" s="3" t="s">
        <v>1863</v>
      </c>
      <c r="AX135" s="3" t="s">
        <v>1863</v>
      </c>
      <c r="AY135" s="3" t="s">
        <v>1864</v>
      </c>
      <c r="AZ135" s="3" t="s">
        <v>73</v>
      </c>
      <c r="BB135" s="3" t="s">
        <v>1865</v>
      </c>
      <c r="BC135" s="3" t="s">
        <v>1866</v>
      </c>
      <c r="BD135" s="3" t="s">
        <v>1867</v>
      </c>
    </row>
    <row r="136" spans="1:56" ht="45" customHeight="1" x14ac:dyDescent="0.25">
      <c r="A136" s="8" t="s">
        <v>58</v>
      </c>
      <c r="B136" s="2" t="s">
        <v>1868</v>
      </c>
      <c r="C136" s="2" t="s">
        <v>1869</v>
      </c>
      <c r="D136" s="2" t="s">
        <v>1870</v>
      </c>
      <c r="F136" s="3" t="s">
        <v>58</v>
      </c>
      <c r="G136" s="3" t="s">
        <v>59</v>
      </c>
      <c r="H136" s="3" t="s">
        <v>58</v>
      </c>
      <c r="I136" s="3" t="s">
        <v>58</v>
      </c>
      <c r="J136" s="3" t="s">
        <v>60</v>
      </c>
      <c r="K136" s="2" t="s">
        <v>1871</v>
      </c>
      <c r="L136" s="2" t="s">
        <v>1872</v>
      </c>
      <c r="M136" s="3" t="s">
        <v>681</v>
      </c>
      <c r="O136" s="3" t="s">
        <v>64</v>
      </c>
      <c r="P136" s="3" t="s">
        <v>422</v>
      </c>
      <c r="R136" s="3" t="s">
        <v>66</v>
      </c>
      <c r="S136" s="4">
        <v>4</v>
      </c>
      <c r="T136" s="4">
        <v>4</v>
      </c>
      <c r="U136" s="5" t="s">
        <v>1873</v>
      </c>
      <c r="V136" s="5" t="s">
        <v>1873</v>
      </c>
      <c r="W136" s="5" t="s">
        <v>1874</v>
      </c>
      <c r="X136" s="5" t="s">
        <v>1874</v>
      </c>
      <c r="Y136" s="4">
        <v>275</v>
      </c>
      <c r="Z136" s="4">
        <v>250</v>
      </c>
      <c r="AA136" s="4">
        <v>260</v>
      </c>
      <c r="AB136" s="4">
        <v>4</v>
      </c>
      <c r="AC136" s="4">
        <v>4</v>
      </c>
      <c r="AD136" s="4">
        <v>9</v>
      </c>
      <c r="AE136" s="4">
        <v>9</v>
      </c>
      <c r="AF136" s="4">
        <v>3</v>
      </c>
      <c r="AG136" s="4">
        <v>3</v>
      </c>
      <c r="AH136" s="4">
        <v>0</v>
      </c>
      <c r="AI136" s="4">
        <v>0</v>
      </c>
      <c r="AJ136" s="4">
        <v>3</v>
      </c>
      <c r="AK136" s="4">
        <v>3</v>
      </c>
      <c r="AL136" s="4">
        <v>3</v>
      </c>
      <c r="AM136" s="4">
        <v>3</v>
      </c>
      <c r="AN136" s="4">
        <v>0</v>
      </c>
      <c r="AO136" s="4">
        <v>0</v>
      </c>
      <c r="AP136" s="3" t="s">
        <v>58</v>
      </c>
      <c r="AQ136" s="3" t="s">
        <v>58</v>
      </c>
      <c r="AS136" s="6" t="str">
        <f>HYPERLINK("https://creighton-primo.hosted.exlibrisgroup.com/primo-explore/search?tab=default_tab&amp;search_scope=EVERYTHING&amp;vid=01CRU&amp;lang=en_US&amp;offset=0&amp;query=any,contains,991000350229702656","Catalog Record")</f>
        <v>Catalog Record</v>
      </c>
      <c r="AT136" s="6" t="str">
        <f>HYPERLINK("http://www.worldcat.org/oclc/10301013","WorldCat Record")</f>
        <v>WorldCat Record</v>
      </c>
      <c r="AU136" s="3" t="s">
        <v>1875</v>
      </c>
      <c r="AV136" s="3" t="s">
        <v>1876</v>
      </c>
      <c r="AW136" s="3" t="s">
        <v>1877</v>
      </c>
      <c r="AX136" s="3" t="s">
        <v>1877</v>
      </c>
      <c r="AY136" s="3" t="s">
        <v>1878</v>
      </c>
      <c r="AZ136" s="3" t="s">
        <v>73</v>
      </c>
      <c r="BB136" s="3" t="s">
        <v>1879</v>
      </c>
      <c r="BC136" s="3" t="s">
        <v>1880</v>
      </c>
      <c r="BD136" s="3" t="s">
        <v>1881</v>
      </c>
    </row>
    <row r="137" spans="1:56" ht="45" customHeight="1" x14ac:dyDescent="0.25">
      <c r="A137" s="8" t="s">
        <v>58</v>
      </c>
      <c r="B137" s="2" t="s">
        <v>1882</v>
      </c>
      <c r="C137" s="2" t="s">
        <v>1883</v>
      </c>
      <c r="D137" s="2" t="s">
        <v>1884</v>
      </c>
      <c r="F137" s="3" t="s">
        <v>58</v>
      </c>
      <c r="G137" s="3" t="s">
        <v>59</v>
      </c>
      <c r="H137" s="3" t="s">
        <v>58</v>
      </c>
      <c r="I137" s="3" t="s">
        <v>58</v>
      </c>
      <c r="J137" s="3" t="s">
        <v>60</v>
      </c>
      <c r="K137" s="2" t="s">
        <v>1885</v>
      </c>
      <c r="L137" s="2" t="s">
        <v>1886</v>
      </c>
      <c r="M137" s="3" t="s">
        <v>580</v>
      </c>
      <c r="O137" s="3" t="s">
        <v>64</v>
      </c>
      <c r="P137" s="3" t="s">
        <v>177</v>
      </c>
      <c r="R137" s="3" t="s">
        <v>66</v>
      </c>
      <c r="S137" s="4">
        <v>14</v>
      </c>
      <c r="T137" s="4">
        <v>14</v>
      </c>
      <c r="U137" s="5" t="s">
        <v>1887</v>
      </c>
      <c r="V137" s="5" t="s">
        <v>1887</v>
      </c>
      <c r="W137" s="5" t="s">
        <v>1888</v>
      </c>
      <c r="X137" s="5" t="s">
        <v>1888</v>
      </c>
      <c r="Y137" s="4">
        <v>312</v>
      </c>
      <c r="Z137" s="4">
        <v>220</v>
      </c>
      <c r="AA137" s="4">
        <v>618</v>
      </c>
      <c r="AB137" s="4">
        <v>2</v>
      </c>
      <c r="AC137" s="4">
        <v>8</v>
      </c>
      <c r="AD137" s="4">
        <v>7</v>
      </c>
      <c r="AE137" s="4">
        <v>28</v>
      </c>
      <c r="AF137" s="4">
        <v>4</v>
      </c>
      <c r="AG137" s="4">
        <v>10</v>
      </c>
      <c r="AH137" s="4">
        <v>1</v>
      </c>
      <c r="AI137" s="4">
        <v>7</v>
      </c>
      <c r="AJ137" s="4">
        <v>4</v>
      </c>
      <c r="AK137" s="4">
        <v>12</v>
      </c>
      <c r="AL137" s="4">
        <v>1</v>
      </c>
      <c r="AM137" s="4">
        <v>6</v>
      </c>
      <c r="AN137" s="4">
        <v>0</v>
      </c>
      <c r="AO137" s="4">
        <v>0</v>
      </c>
      <c r="AP137" s="3" t="s">
        <v>58</v>
      </c>
      <c r="AQ137" s="3" t="s">
        <v>68</v>
      </c>
      <c r="AR137" s="6" t="str">
        <f>HYPERLINK("http://catalog.hathitrust.org/Record/001288764","HathiTrust Record")</f>
        <v>HathiTrust Record</v>
      </c>
      <c r="AS137" s="6" t="str">
        <f>HYPERLINK("https://creighton-primo.hosted.exlibrisgroup.com/primo-explore/search?tab=default_tab&amp;search_scope=EVERYTHING&amp;vid=01CRU&amp;lang=en_US&amp;offset=0&amp;query=any,contains,991001110479702656","Catalog Record")</f>
        <v>Catalog Record</v>
      </c>
      <c r="AT137" s="6" t="str">
        <f>HYPERLINK("http://www.worldcat.org/oclc/16466901","WorldCat Record")</f>
        <v>WorldCat Record</v>
      </c>
      <c r="AU137" s="3" t="s">
        <v>1889</v>
      </c>
      <c r="AV137" s="3" t="s">
        <v>1890</v>
      </c>
      <c r="AW137" s="3" t="s">
        <v>1891</v>
      </c>
      <c r="AX137" s="3" t="s">
        <v>1891</v>
      </c>
      <c r="AY137" s="3" t="s">
        <v>1892</v>
      </c>
      <c r="AZ137" s="3" t="s">
        <v>73</v>
      </c>
      <c r="BB137" s="3" t="s">
        <v>1893</v>
      </c>
      <c r="BC137" s="3" t="s">
        <v>1894</v>
      </c>
      <c r="BD137" s="3" t="s">
        <v>1895</v>
      </c>
    </row>
    <row r="138" spans="1:56" ht="45" customHeight="1" x14ac:dyDescent="0.25">
      <c r="A138" s="8" t="s">
        <v>58</v>
      </c>
      <c r="B138" s="2" t="s">
        <v>1896</v>
      </c>
      <c r="C138" s="2" t="s">
        <v>1897</v>
      </c>
      <c r="D138" s="2" t="s">
        <v>1898</v>
      </c>
      <c r="F138" s="3" t="s">
        <v>58</v>
      </c>
      <c r="G138" s="3" t="s">
        <v>59</v>
      </c>
      <c r="H138" s="3" t="s">
        <v>58</v>
      </c>
      <c r="I138" s="3" t="s">
        <v>58</v>
      </c>
      <c r="J138" s="3" t="s">
        <v>60</v>
      </c>
      <c r="L138" s="2" t="s">
        <v>1899</v>
      </c>
      <c r="M138" s="3" t="s">
        <v>378</v>
      </c>
      <c r="O138" s="3" t="s">
        <v>64</v>
      </c>
      <c r="P138" s="3" t="s">
        <v>65</v>
      </c>
      <c r="Q138" s="2" t="s">
        <v>1900</v>
      </c>
      <c r="R138" s="3" t="s">
        <v>66</v>
      </c>
      <c r="S138" s="4">
        <v>10</v>
      </c>
      <c r="T138" s="4">
        <v>10</v>
      </c>
      <c r="U138" s="5" t="s">
        <v>1901</v>
      </c>
      <c r="V138" s="5" t="s">
        <v>1901</v>
      </c>
      <c r="W138" s="5" t="s">
        <v>380</v>
      </c>
      <c r="X138" s="5" t="s">
        <v>380</v>
      </c>
      <c r="Y138" s="4">
        <v>409</v>
      </c>
      <c r="Z138" s="4">
        <v>356</v>
      </c>
      <c r="AA138" s="4">
        <v>370</v>
      </c>
      <c r="AB138" s="4">
        <v>6</v>
      </c>
      <c r="AC138" s="4">
        <v>6</v>
      </c>
      <c r="AD138" s="4">
        <v>16</v>
      </c>
      <c r="AE138" s="4">
        <v>16</v>
      </c>
      <c r="AF138" s="4">
        <v>5</v>
      </c>
      <c r="AG138" s="4">
        <v>5</v>
      </c>
      <c r="AH138" s="4">
        <v>2</v>
      </c>
      <c r="AI138" s="4">
        <v>2</v>
      </c>
      <c r="AJ138" s="4">
        <v>6</v>
      </c>
      <c r="AK138" s="4">
        <v>6</v>
      </c>
      <c r="AL138" s="4">
        <v>5</v>
      </c>
      <c r="AM138" s="4">
        <v>5</v>
      </c>
      <c r="AN138" s="4">
        <v>0</v>
      </c>
      <c r="AO138" s="4">
        <v>0</v>
      </c>
      <c r="AP138" s="3" t="s">
        <v>58</v>
      </c>
      <c r="AQ138" s="3" t="s">
        <v>58</v>
      </c>
      <c r="AS138" s="6" t="str">
        <f>HYPERLINK("https://creighton-primo.hosted.exlibrisgroup.com/primo-explore/search?tab=default_tab&amp;search_scope=EVERYTHING&amp;vid=01CRU&amp;lang=en_US&amp;offset=0&amp;query=any,contains,991000226589702656","Catalog Record")</f>
        <v>Catalog Record</v>
      </c>
      <c r="AT138" s="6" t="str">
        <f>HYPERLINK("http://www.worldcat.org/oclc/9620401","WorldCat Record")</f>
        <v>WorldCat Record</v>
      </c>
      <c r="AU138" s="3" t="s">
        <v>1902</v>
      </c>
      <c r="AV138" s="3" t="s">
        <v>1903</v>
      </c>
      <c r="AW138" s="3" t="s">
        <v>1904</v>
      </c>
      <c r="AX138" s="3" t="s">
        <v>1904</v>
      </c>
      <c r="AY138" s="3" t="s">
        <v>1905</v>
      </c>
      <c r="AZ138" s="3" t="s">
        <v>73</v>
      </c>
      <c r="BB138" s="3" t="s">
        <v>1906</v>
      </c>
      <c r="BC138" s="3" t="s">
        <v>1907</v>
      </c>
      <c r="BD138" s="3" t="s">
        <v>1908</v>
      </c>
    </row>
    <row r="139" spans="1:56" ht="45" customHeight="1" x14ac:dyDescent="0.25">
      <c r="A139" s="8" t="s">
        <v>58</v>
      </c>
      <c r="B139" s="2" t="s">
        <v>1909</v>
      </c>
      <c r="C139" s="2" t="s">
        <v>1910</v>
      </c>
      <c r="D139" s="2" t="s">
        <v>1911</v>
      </c>
      <c r="F139" s="3" t="s">
        <v>58</v>
      </c>
      <c r="G139" s="3" t="s">
        <v>59</v>
      </c>
      <c r="H139" s="3" t="s">
        <v>58</v>
      </c>
      <c r="I139" s="3" t="s">
        <v>58</v>
      </c>
      <c r="J139" s="3" t="s">
        <v>60</v>
      </c>
      <c r="L139" s="2" t="s">
        <v>1912</v>
      </c>
      <c r="M139" s="3" t="s">
        <v>378</v>
      </c>
      <c r="O139" s="3" t="s">
        <v>64</v>
      </c>
      <c r="P139" s="3" t="s">
        <v>114</v>
      </c>
      <c r="R139" s="3" t="s">
        <v>66</v>
      </c>
      <c r="S139" s="4">
        <v>4</v>
      </c>
      <c r="T139" s="4">
        <v>4</v>
      </c>
      <c r="U139" s="5" t="s">
        <v>1873</v>
      </c>
      <c r="V139" s="5" t="s">
        <v>1873</v>
      </c>
      <c r="W139" s="5" t="s">
        <v>1913</v>
      </c>
      <c r="X139" s="5" t="s">
        <v>1913</v>
      </c>
      <c r="Y139" s="4">
        <v>313</v>
      </c>
      <c r="Z139" s="4">
        <v>222</v>
      </c>
      <c r="AA139" s="4">
        <v>227</v>
      </c>
      <c r="AB139" s="4">
        <v>3</v>
      </c>
      <c r="AC139" s="4">
        <v>3</v>
      </c>
      <c r="AD139" s="4">
        <v>10</v>
      </c>
      <c r="AE139" s="4">
        <v>10</v>
      </c>
      <c r="AF139" s="4">
        <v>4</v>
      </c>
      <c r="AG139" s="4">
        <v>4</v>
      </c>
      <c r="AH139" s="4">
        <v>1</v>
      </c>
      <c r="AI139" s="4">
        <v>1</v>
      </c>
      <c r="AJ139" s="4">
        <v>6</v>
      </c>
      <c r="AK139" s="4">
        <v>6</v>
      </c>
      <c r="AL139" s="4">
        <v>2</v>
      </c>
      <c r="AM139" s="4">
        <v>2</v>
      </c>
      <c r="AN139" s="4">
        <v>0</v>
      </c>
      <c r="AO139" s="4">
        <v>0</v>
      </c>
      <c r="AP139" s="3" t="s">
        <v>58</v>
      </c>
      <c r="AQ139" s="3" t="s">
        <v>58</v>
      </c>
      <c r="AS139" s="6" t="str">
        <f>HYPERLINK("https://creighton-primo.hosted.exlibrisgroup.com/primo-explore/search?tab=default_tab&amp;search_scope=EVERYTHING&amp;vid=01CRU&amp;lang=en_US&amp;offset=0&amp;query=any,contains,991000416679702656","Catalog Record")</f>
        <v>Catalog Record</v>
      </c>
      <c r="AT139" s="6" t="str">
        <f>HYPERLINK("http://www.worldcat.org/oclc/10724927","WorldCat Record")</f>
        <v>WorldCat Record</v>
      </c>
      <c r="AU139" s="3" t="s">
        <v>1914</v>
      </c>
      <c r="AV139" s="3" t="s">
        <v>1915</v>
      </c>
      <c r="AW139" s="3" t="s">
        <v>1916</v>
      </c>
      <c r="AX139" s="3" t="s">
        <v>1916</v>
      </c>
      <c r="AY139" s="3" t="s">
        <v>1917</v>
      </c>
      <c r="AZ139" s="3" t="s">
        <v>73</v>
      </c>
      <c r="BB139" s="3" t="s">
        <v>1918</v>
      </c>
      <c r="BC139" s="3" t="s">
        <v>1919</v>
      </c>
      <c r="BD139" s="3" t="s">
        <v>1920</v>
      </c>
    </row>
    <row r="140" spans="1:56" ht="45" customHeight="1" x14ac:dyDescent="0.25">
      <c r="A140" s="8" t="s">
        <v>58</v>
      </c>
      <c r="B140" s="2" t="s">
        <v>1921</v>
      </c>
      <c r="C140" s="2" t="s">
        <v>1922</v>
      </c>
      <c r="D140" s="2" t="s">
        <v>1923</v>
      </c>
      <c r="F140" s="3" t="s">
        <v>58</v>
      </c>
      <c r="G140" s="3" t="s">
        <v>59</v>
      </c>
      <c r="H140" s="3" t="s">
        <v>58</v>
      </c>
      <c r="I140" s="3" t="s">
        <v>58</v>
      </c>
      <c r="J140" s="3" t="s">
        <v>60</v>
      </c>
      <c r="K140" s="2" t="s">
        <v>1924</v>
      </c>
      <c r="L140" s="2" t="s">
        <v>707</v>
      </c>
      <c r="M140" s="3" t="s">
        <v>681</v>
      </c>
      <c r="O140" s="3" t="s">
        <v>64</v>
      </c>
      <c r="P140" s="3" t="s">
        <v>191</v>
      </c>
      <c r="R140" s="3" t="s">
        <v>66</v>
      </c>
      <c r="S140" s="4">
        <v>2</v>
      </c>
      <c r="T140" s="4">
        <v>2</v>
      </c>
      <c r="U140" s="5" t="s">
        <v>1925</v>
      </c>
      <c r="V140" s="5" t="s">
        <v>1925</v>
      </c>
      <c r="W140" s="5" t="s">
        <v>1926</v>
      </c>
      <c r="X140" s="5" t="s">
        <v>1926</v>
      </c>
      <c r="Y140" s="4">
        <v>161</v>
      </c>
      <c r="Z140" s="4">
        <v>147</v>
      </c>
      <c r="AA140" s="4">
        <v>165</v>
      </c>
      <c r="AB140" s="4">
        <v>2</v>
      </c>
      <c r="AC140" s="4">
        <v>2</v>
      </c>
      <c r="AD140" s="4">
        <v>3</v>
      </c>
      <c r="AE140" s="4">
        <v>3</v>
      </c>
      <c r="AF140" s="4">
        <v>0</v>
      </c>
      <c r="AG140" s="4">
        <v>0</v>
      </c>
      <c r="AH140" s="4">
        <v>0</v>
      </c>
      <c r="AI140" s="4">
        <v>0</v>
      </c>
      <c r="AJ140" s="4">
        <v>2</v>
      </c>
      <c r="AK140" s="4">
        <v>2</v>
      </c>
      <c r="AL140" s="4">
        <v>1</v>
      </c>
      <c r="AM140" s="4">
        <v>1</v>
      </c>
      <c r="AN140" s="4">
        <v>0</v>
      </c>
      <c r="AO140" s="4">
        <v>0</v>
      </c>
      <c r="AP140" s="3" t="s">
        <v>58</v>
      </c>
      <c r="AQ140" s="3" t="s">
        <v>58</v>
      </c>
      <c r="AS140" s="6" t="str">
        <f>HYPERLINK("https://creighton-primo.hosted.exlibrisgroup.com/primo-explore/search?tab=default_tab&amp;search_scope=EVERYTHING&amp;vid=01CRU&amp;lang=en_US&amp;offset=0&amp;query=any,contains,991000147119702656","Catalog Record")</f>
        <v>Catalog Record</v>
      </c>
      <c r="AT140" s="6" t="str">
        <f>HYPERLINK("http://www.worldcat.org/oclc/9196389","WorldCat Record")</f>
        <v>WorldCat Record</v>
      </c>
      <c r="AU140" s="3" t="s">
        <v>1927</v>
      </c>
      <c r="AV140" s="3" t="s">
        <v>1928</v>
      </c>
      <c r="AW140" s="3" t="s">
        <v>1929</v>
      </c>
      <c r="AX140" s="3" t="s">
        <v>1929</v>
      </c>
      <c r="AY140" s="3" t="s">
        <v>1930</v>
      </c>
      <c r="AZ140" s="3" t="s">
        <v>73</v>
      </c>
      <c r="BB140" s="3" t="s">
        <v>1931</v>
      </c>
      <c r="BC140" s="3" t="s">
        <v>1932</v>
      </c>
      <c r="BD140" s="3" t="s">
        <v>1933</v>
      </c>
    </row>
    <row r="141" spans="1:56" ht="45" customHeight="1" x14ac:dyDescent="0.25">
      <c r="A141" s="8" t="s">
        <v>58</v>
      </c>
      <c r="B141" s="2" t="s">
        <v>1934</v>
      </c>
      <c r="C141" s="2" t="s">
        <v>1935</v>
      </c>
      <c r="D141" s="2" t="s">
        <v>1936</v>
      </c>
      <c r="F141" s="3" t="s">
        <v>58</v>
      </c>
      <c r="G141" s="3" t="s">
        <v>59</v>
      </c>
      <c r="H141" s="3" t="s">
        <v>58</v>
      </c>
      <c r="I141" s="3" t="s">
        <v>58</v>
      </c>
      <c r="J141" s="3" t="s">
        <v>60</v>
      </c>
      <c r="L141" s="2" t="s">
        <v>1937</v>
      </c>
      <c r="M141" s="3" t="s">
        <v>494</v>
      </c>
      <c r="O141" s="3" t="s">
        <v>64</v>
      </c>
      <c r="P141" s="3" t="s">
        <v>191</v>
      </c>
      <c r="Q141" s="2" t="s">
        <v>1938</v>
      </c>
      <c r="R141" s="3" t="s">
        <v>66</v>
      </c>
      <c r="S141" s="4">
        <v>4</v>
      </c>
      <c r="T141" s="4">
        <v>4</v>
      </c>
      <c r="U141" s="5" t="s">
        <v>1925</v>
      </c>
      <c r="V141" s="5" t="s">
        <v>1925</v>
      </c>
      <c r="W141" s="5" t="s">
        <v>1926</v>
      </c>
      <c r="X141" s="5" t="s">
        <v>1926</v>
      </c>
      <c r="Y141" s="4">
        <v>208</v>
      </c>
      <c r="Z141" s="4">
        <v>180</v>
      </c>
      <c r="AA141" s="4">
        <v>226</v>
      </c>
      <c r="AB141" s="4">
        <v>3</v>
      </c>
      <c r="AC141" s="4">
        <v>3</v>
      </c>
      <c r="AD141" s="4">
        <v>6</v>
      </c>
      <c r="AE141" s="4">
        <v>6</v>
      </c>
      <c r="AF141" s="4">
        <v>1</v>
      </c>
      <c r="AG141" s="4">
        <v>1</v>
      </c>
      <c r="AH141" s="4">
        <v>1</v>
      </c>
      <c r="AI141" s="4">
        <v>1</v>
      </c>
      <c r="AJ141" s="4">
        <v>3</v>
      </c>
      <c r="AK141" s="4">
        <v>3</v>
      </c>
      <c r="AL141" s="4">
        <v>2</v>
      </c>
      <c r="AM141" s="4">
        <v>2</v>
      </c>
      <c r="AN141" s="4">
        <v>0</v>
      </c>
      <c r="AO141" s="4">
        <v>0</v>
      </c>
      <c r="AP141" s="3" t="s">
        <v>58</v>
      </c>
      <c r="AQ141" s="3" t="s">
        <v>68</v>
      </c>
      <c r="AR141" s="6" t="str">
        <f>HYPERLINK("http://catalog.hathitrust.org/Record/102069050","HathiTrust Record")</f>
        <v>HathiTrust Record</v>
      </c>
      <c r="AS141" s="6" t="str">
        <f>HYPERLINK("https://creighton-primo.hosted.exlibrisgroup.com/primo-explore/search?tab=default_tab&amp;search_scope=EVERYTHING&amp;vid=01CRU&amp;lang=en_US&amp;offset=0&amp;query=any,contains,991000509099702656","Catalog Record")</f>
        <v>Catalog Record</v>
      </c>
      <c r="AT141" s="6" t="str">
        <f>HYPERLINK("http://www.worldcat.org/oclc/11234247","WorldCat Record")</f>
        <v>WorldCat Record</v>
      </c>
      <c r="AU141" s="3" t="s">
        <v>1939</v>
      </c>
      <c r="AV141" s="3" t="s">
        <v>1940</v>
      </c>
      <c r="AW141" s="3" t="s">
        <v>1941</v>
      </c>
      <c r="AX141" s="3" t="s">
        <v>1941</v>
      </c>
      <c r="AY141" s="3" t="s">
        <v>1942</v>
      </c>
      <c r="AZ141" s="3" t="s">
        <v>73</v>
      </c>
      <c r="BB141" s="3" t="s">
        <v>1943</v>
      </c>
      <c r="BC141" s="3" t="s">
        <v>1944</v>
      </c>
      <c r="BD141" s="3" t="s">
        <v>1945</v>
      </c>
    </row>
    <row r="142" spans="1:56" ht="45" customHeight="1" x14ac:dyDescent="0.25">
      <c r="A142" s="8" t="s">
        <v>58</v>
      </c>
      <c r="B142" s="2" t="s">
        <v>1946</v>
      </c>
      <c r="C142" s="2" t="s">
        <v>1947</v>
      </c>
      <c r="D142" s="2" t="s">
        <v>1948</v>
      </c>
      <c r="F142" s="3" t="s">
        <v>58</v>
      </c>
      <c r="G142" s="3" t="s">
        <v>59</v>
      </c>
      <c r="H142" s="3" t="s">
        <v>58</v>
      </c>
      <c r="I142" s="3" t="s">
        <v>58</v>
      </c>
      <c r="J142" s="3" t="s">
        <v>60</v>
      </c>
      <c r="K142" s="2" t="s">
        <v>1949</v>
      </c>
      <c r="L142" s="2" t="s">
        <v>1950</v>
      </c>
      <c r="M142" s="3" t="s">
        <v>480</v>
      </c>
      <c r="O142" s="3" t="s">
        <v>64</v>
      </c>
      <c r="P142" s="3" t="s">
        <v>250</v>
      </c>
      <c r="Q142" s="2" t="s">
        <v>1951</v>
      </c>
      <c r="R142" s="3" t="s">
        <v>66</v>
      </c>
      <c r="S142" s="4">
        <v>17</v>
      </c>
      <c r="T142" s="4">
        <v>17</v>
      </c>
      <c r="U142" s="5" t="s">
        <v>1873</v>
      </c>
      <c r="V142" s="5" t="s">
        <v>1873</v>
      </c>
      <c r="W142" s="5" t="s">
        <v>568</v>
      </c>
      <c r="X142" s="5" t="s">
        <v>568</v>
      </c>
      <c r="Y142" s="4">
        <v>303</v>
      </c>
      <c r="Z142" s="4">
        <v>235</v>
      </c>
      <c r="AA142" s="4">
        <v>240</v>
      </c>
      <c r="AB142" s="4">
        <v>3</v>
      </c>
      <c r="AC142" s="4">
        <v>3</v>
      </c>
      <c r="AD142" s="4">
        <v>6</v>
      </c>
      <c r="AE142" s="4">
        <v>6</v>
      </c>
      <c r="AF142" s="4">
        <v>2</v>
      </c>
      <c r="AG142" s="4">
        <v>2</v>
      </c>
      <c r="AH142" s="4">
        <v>1</v>
      </c>
      <c r="AI142" s="4">
        <v>1</v>
      </c>
      <c r="AJ142" s="4">
        <v>3</v>
      </c>
      <c r="AK142" s="4">
        <v>3</v>
      </c>
      <c r="AL142" s="4">
        <v>2</v>
      </c>
      <c r="AM142" s="4">
        <v>2</v>
      </c>
      <c r="AN142" s="4">
        <v>0</v>
      </c>
      <c r="AO142" s="4">
        <v>0</v>
      </c>
      <c r="AP142" s="3" t="s">
        <v>58</v>
      </c>
      <c r="AQ142" s="3" t="s">
        <v>58</v>
      </c>
      <c r="AS142" s="6" t="str">
        <f>HYPERLINK("https://creighton-primo.hosted.exlibrisgroup.com/primo-explore/search?tab=default_tab&amp;search_scope=EVERYTHING&amp;vid=01CRU&amp;lang=en_US&amp;offset=0&amp;query=any,contains,991005204109702656","Catalog Record")</f>
        <v>Catalog Record</v>
      </c>
      <c r="AT142" s="6" t="str">
        <f>HYPERLINK("http://www.worldcat.org/oclc/8110790","WorldCat Record")</f>
        <v>WorldCat Record</v>
      </c>
      <c r="AU142" s="3" t="s">
        <v>1952</v>
      </c>
      <c r="AV142" s="3" t="s">
        <v>1953</v>
      </c>
      <c r="AW142" s="3" t="s">
        <v>1954</v>
      </c>
      <c r="AX142" s="3" t="s">
        <v>1954</v>
      </c>
      <c r="AY142" s="3" t="s">
        <v>1955</v>
      </c>
      <c r="AZ142" s="3" t="s">
        <v>73</v>
      </c>
      <c r="BB142" s="3" t="s">
        <v>1956</v>
      </c>
      <c r="BC142" s="3" t="s">
        <v>1957</v>
      </c>
      <c r="BD142" s="3" t="s">
        <v>1958</v>
      </c>
    </row>
    <row r="143" spans="1:56" ht="45" customHeight="1" x14ac:dyDescent="0.25">
      <c r="A143" s="8" t="s">
        <v>58</v>
      </c>
      <c r="B143" s="2" t="s">
        <v>1959</v>
      </c>
      <c r="C143" s="2" t="s">
        <v>1960</v>
      </c>
      <c r="D143" s="2" t="s">
        <v>1961</v>
      </c>
      <c r="F143" s="3" t="s">
        <v>58</v>
      </c>
      <c r="G143" s="3" t="s">
        <v>59</v>
      </c>
      <c r="H143" s="3" t="s">
        <v>58</v>
      </c>
      <c r="I143" s="3" t="s">
        <v>68</v>
      </c>
      <c r="J143" s="3" t="s">
        <v>60</v>
      </c>
      <c r="K143" s="2" t="s">
        <v>1962</v>
      </c>
      <c r="L143" s="2" t="s">
        <v>1963</v>
      </c>
      <c r="M143" s="3" t="s">
        <v>393</v>
      </c>
      <c r="O143" s="3" t="s">
        <v>64</v>
      </c>
      <c r="P143" s="3" t="s">
        <v>177</v>
      </c>
      <c r="R143" s="3" t="s">
        <v>66</v>
      </c>
      <c r="S143" s="4">
        <v>7</v>
      </c>
      <c r="T143" s="4">
        <v>7</v>
      </c>
      <c r="U143" s="5" t="s">
        <v>1964</v>
      </c>
      <c r="V143" s="5" t="s">
        <v>1964</v>
      </c>
      <c r="W143" s="5" t="s">
        <v>1926</v>
      </c>
      <c r="X143" s="5" t="s">
        <v>1926</v>
      </c>
      <c r="Y143" s="4">
        <v>382</v>
      </c>
      <c r="Z143" s="4">
        <v>281</v>
      </c>
      <c r="AA143" s="4">
        <v>588</v>
      </c>
      <c r="AB143" s="4">
        <v>3</v>
      </c>
      <c r="AC143" s="4">
        <v>7</v>
      </c>
      <c r="AD143" s="4">
        <v>11</v>
      </c>
      <c r="AE143" s="4">
        <v>23</v>
      </c>
      <c r="AF143" s="4">
        <v>1</v>
      </c>
      <c r="AG143" s="4">
        <v>6</v>
      </c>
      <c r="AH143" s="4">
        <v>3</v>
      </c>
      <c r="AI143" s="4">
        <v>5</v>
      </c>
      <c r="AJ143" s="4">
        <v>6</v>
      </c>
      <c r="AK143" s="4">
        <v>10</v>
      </c>
      <c r="AL143" s="4">
        <v>2</v>
      </c>
      <c r="AM143" s="4">
        <v>5</v>
      </c>
      <c r="AN143" s="4">
        <v>0</v>
      </c>
      <c r="AO143" s="4">
        <v>0</v>
      </c>
      <c r="AP143" s="3" t="s">
        <v>58</v>
      </c>
      <c r="AQ143" s="3" t="s">
        <v>58</v>
      </c>
      <c r="AS143" s="6" t="str">
        <f>HYPERLINK("https://creighton-primo.hosted.exlibrisgroup.com/primo-explore/search?tab=default_tab&amp;search_scope=EVERYTHING&amp;vid=01CRU&amp;lang=en_US&amp;offset=0&amp;query=any,contains,991004935499702656","Catalog Record")</f>
        <v>Catalog Record</v>
      </c>
      <c r="AT143" s="6" t="str">
        <f>HYPERLINK("http://www.worldcat.org/oclc/6142751","WorldCat Record")</f>
        <v>WorldCat Record</v>
      </c>
      <c r="AU143" s="3" t="s">
        <v>1965</v>
      </c>
      <c r="AV143" s="3" t="s">
        <v>1966</v>
      </c>
      <c r="AW143" s="3" t="s">
        <v>1967</v>
      </c>
      <c r="AX143" s="3" t="s">
        <v>1967</v>
      </c>
      <c r="AY143" s="3" t="s">
        <v>1968</v>
      </c>
      <c r="AZ143" s="3" t="s">
        <v>73</v>
      </c>
      <c r="BC143" s="3" t="s">
        <v>1969</v>
      </c>
      <c r="BD143" s="3" t="s">
        <v>1970</v>
      </c>
    </row>
    <row r="144" spans="1:56" ht="45" customHeight="1" x14ac:dyDescent="0.25">
      <c r="A144" s="8" t="s">
        <v>58</v>
      </c>
      <c r="B144" s="2" t="s">
        <v>1971</v>
      </c>
      <c r="C144" s="2" t="s">
        <v>1972</v>
      </c>
      <c r="D144" s="2" t="s">
        <v>1973</v>
      </c>
      <c r="F144" s="3" t="s">
        <v>58</v>
      </c>
      <c r="G144" s="3" t="s">
        <v>59</v>
      </c>
      <c r="H144" s="3" t="s">
        <v>58</v>
      </c>
      <c r="I144" s="3" t="s">
        <v>58</v>
      </c>
      <c r="J144" s="3" t="s">
        <v>60</v>
      </c>
      <c r="L144" s="2" t="s">
        <v>1974</v>
      </c>
      <c r="M144" s="3" t="s">
        <v>494</v>
      </c>
      <c r="O144" s="3" t="s">
        <v>64</v>
      </c>
      <c r="P144" s="3" t="s">
        <v>65</v>
      </c>
      <c r="R144" s="3" t="s">
        <v>66</v>
      </c>
      <c r="S144" s="4">
        <v>4</v>
      </c>
      <c r="T144" s="4">
        <v>4</v>
      </c>
      <c r="U144" s="5" t="s">
        <v>1975</v>
      </c>
      <c r="V144" s="5" t="s">
        <v>1975</v>
      </c>
      <c r="W144" s="5" t="s">
        <v>931</v>
      </c>
      <c r="X144" s="5" t="s">
        <v>931</v>
      </c>
      <c r="Y144" s="4">
        <v>307</v>
      </c>
      <c r="Z144" s="4">
        <v>279</v>
      </c>
      <c r="AA144" s="4">
        <v>283</v>
      </c>
      <c r="AB144" s="4">
        <v>2</v>
      </c>
      <c r="AC144" s="4">
        <v>2</v>
      </c>
      <c r="AD144" s="4">
        <v>9</v>
      </c>
      <c r="AE144" s="4">
        <v>9</v>
      </c>
      <c r="AF144" s="4">
        <v>2</v>
      </c>
      <c r="AG144" s="4">
        <v>2</v>
      </c>
      <c r="AH144" s="4">
        <v>3</v>
      </c>
      <c r="AI144" s="4">
        <v>3</v>
      </c>
      <c r="AJ144" s="4">
        <v>7</v>
      </c>
      <c r="AK144" s="4">
        <v>7</v>
      </c>
      <c r="AL144" s="4">
        <v>1</v>
      </c>
      <c r="AM144" s="4">
        <v>1</v>
      </c>
      <c r="AN144" s="4">
        <v>0</v>
      </c>
      <c r="AO144" s="4">
        <v>0</v>
      </c>
      <c r="AP144" s="3" t="s">
        <v>58</v>
      </c>
      <c r="AQ144" s="3" t="s">
        <v>68</v>
      </c>
      <c r="AR144" s="6" t="str">
        <f>HYPERLINK("http://catalog.hathitrust.org/Record/000588664","HathiTrust Record")</f>
        <v>HathiTrust Record</v>
      </c>
      <c r="AS144" s="6" t="str">
        <f>HYPERLINK("https://creighton-primo.hosted.exlibrisgroup.com/primo-explore/search?tab=default_tab&amp;search_scope=EVERYTHING&amp;vid=01CRU&amp;lang=en_US&amp;offset=0&amp;query=any,contains,991000704489702656","Catalog Record")</f>
        <v>Catalog Record</v>
      </c>
      <c r="AT144" s="6" t="str">
        <f>HYPERLINK("http://www.worldcat.org/oclc/12555854","WorldCat Record")</f>
        <v>WorldCat Record</v>
      </c>
      <c r="AU144" s="3" t="s">
        <v>1976</v>
      </c>
      <c r="AV144" s="3" t="s">
        <v>1977</v>
      </c>
      <c r="AW144" s="3" t="s">
        <v>1978</v>
      </c>
      <c r="AX144" s="3" t="s">
        <v>1978</v>
      </c>
      <c r="AY144" s="3" t="s">
        <v>1979</v>
      </c>
      <c r="AZ144" s="3" t="s">
        <v>73</v>
      </c>
      <c r="BB144" s="3" t="s">
        <v>1980</v>
      </c>
      <c r="BC144" s="3" t="s">
        <v>1981</v>
      </c>
      <c r="BD144" s="3" t="s">
        <v>1982</v>
      </c>
    </row>
    <row r="145" spans="1:56" ht="45" customHeight="1" x14ac:dyDescent="0.25">
      <c r="A145" s="8" t="s">
        <v>58</v>
      </c>
      <c r="B145" s="2" t="s">
        <v>1983</v>
      </c>
      <c r="C145" s="2" t="s">
        <v>1984</v>
      </c>
      <c r="D145" s="2" t="s">
        <v>1985</v>
      </c>
      <c r="F145" s="3" t="s">
        <v>58</v>
      </c>
      <c r="G145" s="3" t="s">
        <v>59</v>
      </c>
      <c r="H145" s="3" t="s">
        <v>58</v>
      </c>
      <c r="I145" s="3" t="s">
        <v>58</v>
      </c>
      <c r="J145" s="3" t="s">
        <v>60</v>
      </c>
      <c r="K145" s="2" t="s">
        <v>1986</v>
      </c>
      <c r="L145" s="2" t="s">
        <v>1987</v>
      </c>
      <c r="M145" s="3" t="s">
        <v>219</v>
      </c>
      <c r="N145" s="2" t="s">
        <v>567</v>
      </c>
      <c r="O145" s="3" t="s">
        <v>64</v>
      </c>
      <c r="P145" s="3" t="s">
        <v>65</v>
      </c>
      <c r="R145" s="3" t="s">
        <v>66</v>
      </c>
      <c r="S145" s="4">
        <v>49</v>
      </c>
      <c r="T145" s="4">
        <v>49</v>
      </c>
      <c r="U145" s="5" t="s">
        <v>1988</v>
      </c>
      <c r="V145" s="5" t="s">
        <v>1988</v>
      </c>
      <c r="W145" s="5" t="s">
        <v>293</v>
      </c>
      <c r="X145" s="5" t="s">
        <v>293</v>
      </c>
      <c r="Y145" s="4">
        <v>277</v>
      </c>
      <c r="Z145" s="4">
        <v>245</v>
      </c>
      <c r="AA145" s="4">
        <v>275</v>
      </c>
      <c r="AB145" s="4">
        <v>8</v>
      </c>
      <c r="AC145" s="4">
        <v>8</v>
      </c>
      <c r="AD145" s="4">
        <v>15</v>
      </c>
      <c r="AE145" s="4">
        <v>17</v>
      </c>
      <c r="AF145" s="4">
        <v>3</v>
      </c>
      <c r="AG145" s="4">
        <v>5</v>
      </c>
      <c r="AH145" s="4">
        <v>1</v>
      </c>
      <c r="AI145" s="4">
        <v>1</v>
      </c>
      <c r="AJ145" s="4">
        <v>5</v>
      </c>
      <c r="AK145" s="4">
        <v>6</v>
      </c>
      <c r="AL145" s="4">
        <v>7</v>
      </c>
      <c r="AM145" s="4">
        <v>7</v>
      </c>
      <c r="AN145" s="4">
        <v>0</v>
      </c>
      <c r="AO145" s="4">
        <v>0</v>
      </c>
      <c r="AP145" s="3" t="s">
        <v>58</v>
      </c>
      <c r="AQ145" s="3" t="s">
        <v>58</v>
      </c>
      <c r="AS145" s="6" t="str">
        <f>HYPERLINK("https://creighton-primo.hosted.exlibrisgroup.com/primo-explore/search?tab=default_tab&amp;search_scope=EVERYTHING&amp;vid=01CRU&amp;lang=en_US&amp;offset=0&amp;query=any,contains,991001865309702656","Catalog Record")</f>
        <v>Catalog Record</v>
      </c>
      <c r="AT145" s="6" t="str">
        <f>HYPERLINK("http://www.worldcat.org/oclc/23462730","WorldCat Record")</f>
        <v>WorldCat Record</v>
      </c>
      <c r="AU145" s="3" t="s">
        <v>1989</v>
      </c>
      <c r="AV145" s="3" t="s">
        <v>1990</v>
      </c>
      <c r="AW145" s="3" t="s">
        <v>1991</v>
      </c>
      <c r="AX145" s="3" t="s">
        <v>1991</v>
      </c>
      <c r="AY145" s="3" t="s">
        <v>1992</v>
      </c>
      <c r="AZ145" s="3" t="s">
        <v>73</v>
      </c>
      <c r="BB145" s="3" t="s">
        <v>1993</v>
      </c>
      <c r="BC145" s="3" t="s">
        <v>1994</v>
      </c>
      <c r="BD145" s="3" t="s">
        <v>1995</v>
      </c>
    </row>
    <row r="146" spans="1:56" ht="45" customHeight="1" x14ac:dyDescent="0.25">
      <c r="A146" s="8" t="s">
        <v>58</v>
      </c>
      <c r="B146" s="2" t="s">
        <v>1996</v>
      </c>
      <c r="C146" s="2" t="s">
        <v>1997</v>
      </c>
      <c r="D146" s="2" t="s">
        <v>1998</v>
      </c>
      <c r="F146" s="3" t="s">
        <v>58</v>
      </c>
      <c r="G146" s="3" t="s">
        <v>59</v>
      </c>
      <c r="H146" s="3" t="s">
        <v>58</v>
      </c>
      <c r="I146" s="3" t="s">
        <v>58</v>
      </c>
      <c r="J146" s="3" t="s">
        <v>60</v>
      </c>
      <c r="K146" s="2" t="s">
        <v>1999</v>
      </c>
      <c r="L146" s="2" t="s">
        <v>2000</v>
      </c>
      <c r="M146" s="3" t="s">
        <v>480</v>
      </c>
      <c r="O146" s="3" t="s">
        <v>64</v>
      </c>
      <c r="P146" s="3" t="s">
        <v>99</v>
      </c>
      <c r="R146" s="3" t="s">
        <v>66</v>
      </c>
      <c r="S146" s="4">
        <v>4</v>
      </c>
      <c r="T146" s="4">
        <v>4</v>
      </c>
      <c r="U146" s="5" t="s">
        <v>2001</v>
      </c>
      <c r="V146" s="5" t="s">
        <v>2001</v>
      </c>
      <c r="W146" s="5" t="s">
        <v>2002</v>
      </c>
      <c r="X146" s="5" t="s">
        <v>2002</v>
      </c>
      <c r="Y146" s="4">
        <v>184</v>
      </c>
      <c r="Z146" s="4">
        <v>158</v>
      </c>
      <c r="AA146" s="4">
        <v>158</v>
      </c>
      <c r="AB146" s="4">
        <v>2</v>
      </c>
      <c r="AC146" s="4">
        <v>2</v>
      </c>
      <c r="AD146" s="4">
        <v>3</v>
      </c>
      <c r="AE146" s="4">
        <v>3</v>
      </c>
      <c r="AF146" s="4">
        <v>1</v>
      </c>
      <c r="AG146" s="4">
        <v>1</v>
      </c>
      <c r="AH146" s="4">
        <v>0</v>
      </c>
      <c r="AI146" s="4">
        <v>0</v>
      </c>
      <c r="AJ146" s="4">
        <v>2</v>
      </c>
      <c r="AK146" s="4">
        <v>2</v>
      </c>
      <c r="AL146" s="4">
        <v>1</v>
      </c>
      <c r="AM146" s="4">
        <v>1</v>
      </c>
      <c r="AN146" s="4">
        <v>0</v>
      </c>
      <c r="AO146" s="4">
        <v>0</v>
      </c>
      <c r="AP146" s="3" t="s">
        <v>58</v>
      </c>
      <c r="AQ146" s="3" t="s">
        <v>58</v>
      </c>
      <c r="AS146" s="6" t="str">
        <f>HYPERLINK("https://creighton-primo.hosted.exlibrisgroup.com/primo-explore/search?tab=default_tab&amp;search_scope=EVERYTHING&amp;vid=01CRU&amp;lang=en_US&amp;offset=0&amp;query=any,contains,991005144699702656","Catalog Record")</f>
        <v>Catalog Record</v>
      </c>
      <c r="AT146" s="6" t="str">
        <f>HYPERLINK("http://www.worldcat.org/oclc/7653485","WorldCat Record")</f>
        <v>WorldCat Record</v>
      </c>
      <c r="AU146" s="3" t="s">
        <v>2003</v>
      </c>
      <c r="AV146" s="3" t="s">
        <v>2004</v>
      </c>
      <c r="AW146" s="3" t="s">
        <v>2005</v>
      </c>
      <c r="AX146" s="3" t="s">
        <v>2005</v>
      </c>
      <c r="AY146" s="3" t="s">
        <v>2006</v>
      </c>
      <c r="AZ146" s="3" t="s">
        <v>73</v>
      </c>
      <c r="BB146" s="3" t="s">
        <v>2007</v>
      </c>
      <c r="BC146" s="3" t="s">
        <v>2008</v>
      </c>
      <c r="BD146" s="3" t="s">
        <v>2009</v>
      </c>
    </row>
    <row r="147" spans="1:56" ht="45" customHeight="1" x14ac:dyDescent="0.25">
      <c r="A147" s="8" t="s">
        <v>58</v>
      </c>
      <c r="B147" s="2" t="s">
        <v>2010</v>
      </c>
      <c r="C147" s="2" t="s">
        <v>2011</v>
      </c>
      <c r="D147" s="2" t="s">
        <v>2012</v>
      </c>
      <c r="F147" s="3" t="s">
        <v>58</v>
      </c>
      <c r="G147" s="3" t="s">
        <v>59</v>
      </c>
      <c r="H147" s="3" t="s">
        <v>58</v>
      </c>
      <c r="I147" s="3" t="s">
        <v>58</v>
      </c>
      <c r="J147" s="3" t="s">
        <v>60</v>
      </c>
      <c r="K147" s="2" t="s">
        <v>2013</v>
      </c>
      <c r="L147" s="2" t="s">
        <v>2014</v>
      </c>
      <c r="M147" s="3" t="s">
        <v>365</v>
      </c>
      <c r="O147" s="3" t="s">
        <v>64</v>
      </c>
      <c r="P147" s="3" t="s">
        <v>177</v>
      </c>
      <c r="Q147" s="2" t="s">
        <v>2015</v>
      </c>
      <c r="R147" s="3" t="s">
        <v>66</v>
      </c>
      <c r="S147" s="4">
        <v>2</v>
      </c>
      <c r="T147" s="4">
        <v>2</v>
      </c>
      <c r="U147" s="5" t="s">
        <v>2016</v>
      </c>
      <c r="V147" s="5" t="s">
        <v>2016</v>
      </c>
      <c r="W147" s="5" t="s">
        <v>236</v>
      </c>
      <c r="X147" s="5" t="s">
        <v>236</v>
      </c>
      <c r="Y147" s="4">
        <v>267</v>
      </c>
      <c r="Z147" s="4">
        <v>232</v>
      </c>
      <c r="AA147" s="4">
        <v>235</v>
      </c>
      <c r="AB147" s="4">
        <v>3</v>
      </c>
      <c r="AC147" s="4">
        <v>3</v>
      </c>
      <c r="AD147" s="4">
        <v>10</v>
      </c>
      <c r="AE147" s="4">
        <v>10</v>
      </c>
      <c r="AF147" s="4">
        <v>3</v>
      </c>
      <c r="AG147" s="4">
        <v>3</v>
      </c>
      <c r="AH147" s="4">
        <v>2</v>
      </c>
      <c r="AI147" s="4">
        <v>2</v>
      </c>
      <c r="AJ147" s="4">
        <v>6</v>
      </c>
      <c r="AK147" s="4">
        <v>6</v>
      </c>
      <c r="AL147" s="4">
        <v>2</v>
      </c>
      <c r="AM147" s="4">
        <v>2</v>
      </c>
      <c r="AN147" s="4">
        <v>0</v>
      </c>
      <c r="AO147" s="4">
        <v>0</v>
      </c>
      <c r="AP147" s="3" t="s">
        <v>58</v>
      </c>
      <c r="AQ147" s="3" t="s">
        <v>68</v>
      </c>
      <c r="AR147" s="6" t="str">
        <f>HYPERLINK("http://catalog.hathitrust.org/Record/004414744","HathiTrust Record")</f>
        <v>HathiTrust Record</v>
      </c>
      <c r="AS147" s="6" t="str">
        <f>HYPERLINK("https://creighton-primo.hosted.exlibrisgroup.com/primo-explore/search?tab=default_tab&amp;search_scope=EVERYTHING&amp;vid=01CRU&amp;lang=en_US&amp;offset=0&amp;query=any,contains,991000624389702656","Catalog Record")</f>
        <v>Catalog Record</v>
      </c>
      <c r="AT147" s="6" t="str">
        <f>HYPERLINK("http://www.worldcat.org/oclc/103595","WorldCat Record")</f>
        <v>WorldCat Record</v>
      </c>
      <c r="AU147" s="3" t="s">
        <v>2017</v>
      </c>
      <c r="AV147" s="3" t="s">
        <v>2018</v>
      </c>
      <c r="AW147" s="3" t="s">
        <v>2019</v>
      </c>
      <c r="AX147" s="3" t="s">
        <v>2019</v>
      </c>
      <c r="AY147" s="3" t="s">
        <v>2020</v>
      </c>
      <c r="AZ147" s="3" t="s">
        <v>73</v>
      </c>
      <c r="BC147" s="3" t="s">
        <v>2021</v>
      </c>
      <c r="BD147" s="3" t="s">
        <v>2022</v>
      </c>
    </row>
    <row r="148" spans="1:56" ht="45" customHeight="1" x14ac:dyDescent="0.25">
      <c r="A148" s="8" t="s">
        <v>58</v>
      </c>
      <c r="B148" s="2" t="s">
        <v>2023</v>
      </c>
      <c r="C148" s="2" t="s">
        <v>2024</v>
      </c>
      <c r="D148" s="2" t="s">
        <v>2025</v>
      </c>
      <c r="F148" s="3" t="s">
        <v>58</v>
      </c>
      <c r="G148" s="3" t="s">
        <v>59</v>
      </c>
      <c r="H148" s="3" t="s">
        <v>58</v>
      </c>
      <c r="I148" s="3" t="s">
        <v>58</v>
      </c>
      <c r="J148" s="3" t="s">
        <v>60</v>
      </c>
      <c r="K148" s="2" t="s">
        <v>2026</v>
      </c>
      <c r="L148" s="2" t="s">
        <v>2027</v>
      </c>
      <c r="M148" s="3" t="s">
        <v>762</v>
      </c>
      <c r="O148" s="3" t="s">
        <v>64</v>
      </c>
      <c r="P148" s="3" t="s">
        <v>99</v>
      </c>
      <c r="R148" s="3" t="s">
        <v>66</v>
      </c>
      <c r="S148" s="4">
        <v>1</v>
      </c>
      <c r="T148" s="4">
        <v>1</v>
      </c>
      <c r="U148" s="5" t="s">
        <v>2028</v>
      </c>
      <c r="V148" s="5" t="s">
        <v>2028</v>
      </c>
      <c r="W148" s="5" t="s">
        <v>2029</v>
      </c>
      <c r="X148" s="5" t="s">
        <v>2029</v>
      </c>
      <c r="Y148" s="4">
        <v>196</v>
      </c>
      <c r="Z148" s="4">
        <v>177</v>
      </c>
      <c r="AA148" s="4">
        <v>180</v>
      </c>
      <c r="AB148" s="4">
        <v>3</v>
      </c>
      <c r="AC148" s="4">
        <v>3</v>
      </c>
      <c r="AD148" s="4">
        <v>4</v>
      </c>
      <c r="AE148" s="4">
        <v>4</v>
      </c>
      <c r="AF148" s="4">
        <v>1</v>
      </c>
      <c r="AG148" s="4">
        <v>1</v>
      </c>
      <c r="AH148" s="4">
        <v>0</v>
      </c>
      <c r="AI148" s="4">
        <v>0</v>
      </c>
      <c r="AJ148" s="4">
        <v>2</v>
      </c>
      <c r="AK148" s="4">
        <v>2</v>
      </c>
      <c r="AL148" s="4">
        <v>2</v>
      </c>
      <c r="AM148" s="4">
        <v>2</v>
      </c>
      <c r="AN148" s="4">
        <v>0</v>
      </c>
      <c r="AO148" s="4">
        <v>0</v>
      </c>
      <c r="AP148" s="3" t="s">
        <v>58</v>
      </c>
      <c r="AQ148" s="3" t="s">
        <v>68</v>
      </c>
      <c r="AR148" s="6" t="str">
        <f>HYPERLINK("http://catalog.hathitrust.org/Record/001588322","HathiTrust Record")</f>
        <v>HathiTrust Record</v>
      </c>
      <c r="AS148" s="6" t="str">
        <f>HYPERLINK("https://creighton-primo.hosted.exlibrisgroup.com/primo-explore/search?tab=default_tab&amp;search_scope=EVERYTHING&amp;vid=01CRU&amp;lang=en_US&amp;offset=0&amp;query=any,contains,991003068099702656","Catalog Record")</f>
        <v>Catalog Record</v>
      </c>
      <c r="AT148" s="6" t="str">
        <f>HYPERLINK("http://www.worldcat.org/oclc/623343","WorldCat Record")</f>
        <v>WorldCat Record</v>
      </c>
      <c r="AU148" s="3" t="s">
        <v>2030</v>
      </c>
      <c r="AV148" s="3" t="s">
        <v>2031</v>
      </c>
      <c r="AW148" s="3" t="s">
        <v>2032</v>
      </c>
      <c r="AX148" s="3" t="s">
        <v>2032</v>
      </c>
      <c r="AY148" s="3" t="s">
        <v>2033</v>
      </c>
      <c r="AZ148" s="3" t="s">
        <v>73</v>
      </c>
      <c r="BB148" s="3" t="s">
        <v>2034</v>
      </c>
      <c r="BC148" s="3" t="s">
        <v>2035</v>
      </c>
      <c r="BD148" s="3" t="s">
        <v>2036</v>
      </c>
    </row>
    <row r="149" spans="1:56" ht="45" customHeight="1" x14ac:dyDescent="0.25">
      <c r="A149" s="8" t="s">
        <v>58</v>
      </c>
      <c r="B149" s="2" t="s">
        <v>2037</v>
      </c>
      <c r="C149" s="2" t="s">
        <v>2038</v>
      </c>
      <c r="D149" s="2" t="s">
        <v>2039</v>
      </c>
      <c r="F149" s="3" t="s">
        <v>58</v>
      </c>
      <c r="G149" s="3" t="s">
        <v>59</v>
      </c>
      <c r="H149" s="3" t="s">
        <v>58</v>
      </c>
      <c r="I149" s="3" t="s">
        <v>58</v>
      </c>
      <c r="J149" s="3" t="s">
        <v>60</v>
      </c>
      <c r="L149" s="2" t="s">
        <v>1899</v>
      </c>
      <c r="M149" s="3" t="s">
        <v>378</v>
      </c>
      <c r="O149" s="3" t="s">
        <v>64</v>
      </c>
      <c r="P149" s="3" t="s">
        <v>65</v>
      </c>
      <c r="R149" s="3" t="s">
        <v>66</v>
      </c>
      <c r="S149" s="4">
        <v>12</v>
      </c>
      <c r="T149" s="4">
        <v>12</v>
      </c>
      <c r="U149" s="5" t="s">
        <v>2040</v>
      </c>
      <c r="V149" s="5" t="s">
        <v>2040</v>
      </c>
      <c r="W149" s="5" t="s">
        <v>2002</v>
      </c>
      <c r="X149" s="5" t="s">
        <v>2002</v>
      </c>
      <c r="Y149" s="4">
        <v>393</v>
      </c>
      <c r="Z149" s="4">
        <v>330</v>
      </c>
      <c r="AA149" s="4">
        <v>337</v>
      </c>
      <c r="AB149" s="4">
        <v>4</v>
      </c>
      <c r="AC149" s="4">
        <v>4</v>
      </c>
      <c r="AD149" s="4">
        <v>14</v>
      </c>
      <c r="AE149" s="4">
        <v>14</v>
      </c>
      <c r="AF149" s="4">
        <v>4</v>
      </c>
      <c r="AG149" s="4">
        <v>4</v>
      </c>
      <c r="AH149" s="4">
        <v>2</v>
      </c>
      <c r="AI149" s="4">
        <v>2</v>
      </c>
      <c r="AJ149" s="4">
        <v>7</v>
      </c>
      <c r="AK149" s="4">
        <v>7</v>
      </c>
      <c r="AL149" s="4">
        <v>3</v>
      </c>
      <c r="AM149" s="4">
        <v>3</v>
      </c>
      <c r="AN149" s="4">
        <v>0</v>
      </c>
      <c r="AO149" s="4">
        <v>0</v>
      </c>
      <c r="AP149" s="3" t="s">
        <v>58</v>
      </c>
      <c r="AQ149" s="3" t="s">
        <v>68</v>
      </c>
      <c r="AR149" s="6" t="str">
        <f>HYPERLINK("http://catalog.hathitrust.org/Record/006257867","HathiTrust Record")</f>
        <v>HathiTrust Record</v>
      </c>
      <c r="AS149" s="6" t="str">
        <f>HYPERLINK("https://creighton-primo.hosted.exlibrisgroup.com/primo-explore/search?tab=default_tab&amp;search_scope=EVERYTHING&amp;vid=01CRU&amp;lang=en_US&amp;offset=0&amp;query=any,contains,991000311659702656","Catalog Record")</f>
        <v>Catalog Record</v>
      </c>
      <c r="AT149" s="6" t="str">
        <f>HYPERLINK("http://www.worldcat.org/oclc/10099317","WorldCat Record")</f>
        <v>WorldCat Record</v>
      </c>
      <c r="AU149" s="3" t="s">
        <v>2041</v>
      </c>
      <c r="AV149" s="3" t="s">
        <v>2042</v>
      </c>
      <c r="AW149" s="3" t="s">
        <v>2043</v>
      </c>
      <c r="AX149" s="3" t="s">
        <v>2043</v>
      </c>
      <c r="AY149" s="3" t="s">
        <v>2044</v>
      </c>
      <c r="AZ149" s="3" t="s">
        <v>73</v>
      </c>
      <c r="BB149" s="3" t="s">
        <v>2045</v>
      </c>
      <c r="BC149" s="3" t="s">
        <v>2046</v>
      </c>
      <c r="BD149" s="3" t="s">
        <v>2047</v>
      </c>
    </row>
    <row r="150" spans="1:56" ht="45" customHeight="1" x14ac:dyDescent="0.25">
      <c r="A150" s="8" t="s">
        <v>58</v>
      </c>
      <c r="B150" s="2" t="s">
        <v>2048</v>
      </c>
      <c r="C150" s="2" t="s">
        <v>2049</v>
      </c>
      <c r="D150" s="2" t="s">
        <v>2050</v>
      </c>
      <c r="F150" s="3" t="s">
        <v>58</v>
      </c>
      <c r="G150" s="3" t="s">
        <v>59</v>
      </c>
      <c r="H150" s="3" t="s">
        <v>58</v>
      </c>
      <c r="I150" s="3" t="s">
        <v>58</v>
      </c>
      <c r="J150" s="3" t="s">
        <v>60</v>
      </c>
      <c r="K150" s="2" t="s">
        <v>2051</v>
      </c>
      <c r="L150" s="2" t="s">
        <v>2052</v>
      </c>
      <c r="M150" s="3" t="s">
        <v>378</v>
      </c>
      <c r="O150" s="3" t="s">
        <v>64</v>
      </c>
      <c r="P150" s="3" t="s">
        <v>2053</v>
      </c>
      <c r="R150" s="3" t="s">
        <v>66</v>
      </c>
      <c r="S150" s="4">
        <v>4</v>
      </c>
      <c r="T150" s="4">
        <v>4</v>
      </c>
      <c r="U150" s="5" t="s">
        <v>1640</v>
      </c>
      <c r="V150" s="5" t="s">
        <v>1640</v>
      </c>
      <c r="W150" s="5" t="s">
        <v>2054</v>
      </c>
      <c r="X150" s="5" t="s">
        <v>2054</v>
      </c>
      <c r="Y150" s="4">
        <v>86</v>
      </c>
      <c r="Z150" s="4">
        <v>81</v>
      </c>
      <c r="AA150" s="4">
        <v>82</v>
      </c>
      <c r="AB150" s="4">
        <v>1</v>
      </c>
      <c r="AC150" s="4">
        <v>1</v>
      </c>
      <c r="AD150" s="4">
        <v>1</v>
      </c>
      <c r="AE150" s="4">
        <v>1</v>
      </c>
      <c r="AF150" s="4">
        <v>0</v>
      </c>
      <c r="AG150" s="4">
        <v>0</v>
      </c>
      <c r="AH150" s="4">
        <v>0</v>
      </c>
      <c r="AI150" s="4">
        <v>0</v>
      </c>
      <c r="AJ150" s="4">
        <v>1</v>
      </c>
      <c r="AK150" s="4">
        <v>1</v>
      </c>
      <c r="AL150" s="4">
        <v>0</v>
      </c>
      <c r="AM150" s="4">
        <v>0</v>
      </c>
      <c r="AN150" s="4">
        <v>0</v>
      </c>
      <c r="AO150" s="4">
        <v>0</v>
      </c>
      <c r="AP150" s="3" t="s">
        <v>58</v>
      </c>
      <c r="AQ150" s="3" t="s">
        <v>68</v>
      </c>
      <c r="AR150" s="6" t="str">
        <f>HYPERLINK("http://catalog.hathitrust.org/Record/102092342","HathiTrust Record")</f>
        <v>HathiTrust Record</v>
      </c>
      <c r="AS150" s="6" t="str">
        <f>HYPERLINK("https://creighton-primo.hosted.exlibrisgroup.com/primo-explore/search?tab=default_tab&amp;search_scope=EVERYTHING&amp;vid=01CRU&amp;lang=en_US&amp;offset=0&amp;query=any,contains,991000528469702656","Catalog Record")</f>
        <v>Catalog Record</v>
      </c>
      <c r="AT150" s="6" t="str">
        <f>HYPERLINK("http://www.worldcat.org/oclc/11376558","WorldCat Record")</f>
        <v>WorldCat Record</v>
      </c>
      <c r="AU150" s="3" t="s">
        <v>2055</v>
      </c>
      <c r="AV150" s="3" t="s">
        <v>2056</v>
      </c>
      <c r="AW150" s="3" t="s">
        <v>2057</v>
      </c>
      <c r="AX150" s="3" t="s">
        <v>2057</v>
      </c>
      <c r="AY150" s="3" t="s">
        <v>2058</v>
      </c>
      <c r="AZ150" s="3" t="s">
        <v>73</v>
      </c>
      <c r="BB150" s="3" t="s">
        <v>2059</v>
      </c>
      <c r="BC150" s="3" t="s">
        <v>2060</v>
      </c>
      <c r="BD150" s="3" t="s">
        <v>2061</v>
      </c>
    </row>
    <row r="151" spans="1:56" ht="45" customHeight="1" x14ac:dyDescent="0.25">
      <c r="A151" s="8" t="s">
        <v>58</v>
      </c>
      <c r="B151" s="2" t="s">
        <v>2062</v>
      </c>
      <c r="C151" s="2" t="s">
        <v>2063</v>
      </c>
      <c r="D151" s="2" t="s">
        <v>2064</v>
      </c>
      <c r="F151" s="3" t="s">
        <v>58</v>
      </c>
      <c r="G151" s="3" t="s">
        <v>59</v>
      </c>
      <c r="H151" s="3" t="s">
        <v>58</v>
      </c>
      <c r="I151" s="3" t="s">
        <v>58</v>
      </c>
      <c r="J151" s="3" t="s">
        <v>60</v>
      </c>
      <c r="K151" s="2" t="s">
        <v>2065</v>
      </c>
      <c r="L151" s="2" t="s">
        <v>2066</v>
      </c>
      <c r="M151" s="3" t="s">
        <v>393</v>
      </c>
      <c r="O151" s="3" t="s">
        <v>64</v>
      </c>
      <c r="P151" s="3" t="s">
        <v>2053</v>
      </c>
      <c r="R151" s="3" t="s">
        <v>66</v>
      </c>
      <c r="S151" s="4">
        <v>1</v>
      </c>
      <c r="T151" s="4">
        <v>1</v>
      </c>
      <c r="U151" s="5" t="s">
        <v>2067</v>
      </c>
      <c r="V151" s="5" t="s">
        <v>2067</v>
      </c>
      <c r="W151" s="5" t="s">
        <v>1926</v>
      </c>
      <c r="X151" s="5" t="s">
        <v>1926</v>
      </c>
      <c r="Y151" s="4">
        <v>253</v>
      </c>
      <c r="Z151" s="4">
        <v>219</v>
      </c>
      <c r="AA151" s="4">
        <v>224</v>
      </c>
      <c r="AB151" s="4">
        <v>2</v>
      </c>
      <c r="AC151" s="4">
        <v>2</v>
      </c>
      <c r="AD151" s="4">
        <v>6</v>
      </c>
      <c r="AE151" s="4">
        <v>6</v>
      </c>
      <c r="AF151" s="4">
        <v>3</v>
      </c>
      <c r="AG151" s="4">
        <v>3</v>
      </c>
      <c r="AH151" s="4">
        <v>0</v>
      </c>
      <c r="AI151" s="4">
        <v>0</v>
      </c>
      <c r="AJ151" s="4">
        <v>3</v>
      </c>
      <c r="AK151" s="4">
        <v>3</v>
      </c>
      <c r="AL151" s="4">
        <v>1</v>
      </c>
      <c r="AM151" s="4">
        <v>1</v>
      </c>
      <c r="AN151" s="4">
        <v>0</v>
      </c>
      <c r="AO151" s="4">
        <v>0</v>
      </c>
      <c r="AP151" s="3" t="s">
        <v>58</v>
      </c>
      <c r="AQ151" s="3" t="s">
        <v>58</v>
      </c>
      <c r="AS151" s="6" t="str">
        <f>HYPERLINK("https://creighton-primo.hosted.exlibrisgroup.com/primo-explore/search?tab=default_tab&amp;search_scope=EVERYTHING&amp;vid=01CRU&amp;lang=en_US&amp;offset=0&amp;query=any,contains,991004990759702656","Catalog Record")</f>
        <v>Catalog Record</v>
      </c>
      <c r="AT151" s="6" t="str">
        <f>HYPERLINK("http://www.worldcat.org/oclc/6487190","WorldCat Record")</f>
        <v>WorldCat Record</v>
      </c>
      <c r="AU151" s="3" t="s">
        <v>2068</v>
      </c>
      <c r="AV151" s="3" t="s">
        <v>2069</v>
      </c>
      <c r="AW151" s="3" t="s">
        <v>2070</v>
      </c>
      <c r="AX151" s="3" t="s">
        <v>2070</v>
      </c>
      <c r="AY151" s="3" t="s">
        <v>2071</v>
      </c>
      <c r="AZ151" s="3" t="s">
        <v>73</v>
      </c>
      <c r="BB151" s="3" t="s">
        <v>2072</v>
      </c>
      <c r="BC151" s="3" t="s">
        <v>2073</v>
      </c>
      <c r="BD151" s="3" t="s">
        <v>2074</v>
      </c>
    </row>
    <row r="152" spans="1:56" ht="45" customHeight="1" x14ac:dyDescent="0.25">
      <c r="A152" s="8" t="s">
        <v>58</v>
      </c>
      <c r="B152" s="2" t="s">
        <v>2075</v>
      </c>
      <c r="C152" s="2" t="s">
        <v>2076</v>
      </c>
      <c r="D152" s="2" t="s">
        <v>2077</v>
      </c>
      <c r="F152" s="3" t="s">
        <v>58</v>
      </c>
      <c r="G152" s="3" t="s">
        <v>59</v>
      </c>
      <c r="H152" s="3" t="s">
        <v>58</v>
      </c>
      <c r="I152" s="3" t="s">
        <v>58</v>
      </c>
      <c r="J152" s="3" t="s">
        <v>60</v>
      </c>
      <c r="K152" s="2" t="s">
        <v>2078</v>
      </c>
      <c r="L152" s="2" t="s">
        <v>2079</v>
      </c>
      <c r="M152" s="3" t="s">
        <v>1166</v>
      </c>
      <c r="O152" s="3" t="s">
        <v>64</v>
      </c>
      <c r="P152" s="3" t="s">
        <v>65</v>
      </c>
      <c r="Q152" s="2" t="s">
        <v>2080</v>
      </c>
      <c r="R152" s="3" t="s">
        <v>66</v>
      </c>
      <c r="S152" s="4">
        <v>3</v>
      </c>
      <c r="T152" s="4">
        <v>3</v>
      </c>
      <c r="U152" s="5" t="s">
        <v>1795</v>
      </c>
      <c r="V152" s="5" t="s">
        <v>1795</v>
      </c>
      <c r="W152" s="5" t="s">
        <v>2081</v>
      </c>
      <c r="X152" s="5" t="s">
        <v>2081</v>
      </c>
      <c r="Y152" s="4">
        <v>110</v>
      </c>
      <c r="Z152" s="4">
        <v>106</v>
      </c>
      <c r="AA152" s="4">
        <v>220</v>
      </c>
      <c r="AB152" s="4">
        <v>2</v>
      </c>
      <c r="AC152" s="4">
        <v>2</v>
      </c>
      <c r="AD152" s="4">
        <v>3</v>
      </c>
      <c r="AE152" s="4">
        <v>5</v>
      </c>
      <c r="AF152" s="4">
        <v>1</v>
      </c>
      <c r="AG152" s="4">
        <v>1</v>
      </c>
      <c r="AH152" s="4">
        <v>0</v>
      </c>
      <c r="AI152" s="4">
        <v>2</v>
      </c>
      <c r="AJ152" s="4">
        <v>1</v>
      </c>
      <c r="AK152" s="4">
        <v>2</v>
      </c>
      <c r="AL152" s="4">
        <v>1</v>
      </c>
      <c r="AM152" s="4">
        <v>1</v>
      </c>
      <c r="AN152" s="4">
        <v>0</v>
      </c>
      <c r="AO152" s="4">
        <v>0</v>
      </c>
      <c r="AP152" s="3" t="s">
        <v>58</v>
      </c>
      <c r="AQ152" s="3" t="s">
        <v>58</v>
      </c>
      <c r="AS152" s="6" t="str">
        <f>HYPERLINK("https://creighton-primo.hosted.exlibrisgroup.com/primo-explore/search?tab=default_tab&amp;search_scope=EVERYTHING&amp;vid=01CRU&amp;lang=en_US&amp;offset=0&amp;query=any,contains,991002452949702656","Catalog Record")</f>
        <v>Catalog Record</v>
      </c>
      <c r="AT152" s="6" t="str">
        <f>HYPERLINK("http://www.worldcat.org/oclc/31974432","WorldCat Record")</f>
        <v>WorldCat Record</v>
      </c>
      <c r="AU152" s="3" t="s">
        <v>2082</v>
      </c>
      <c r="AV152" s="3" t="s">
        <v>2083</v>
      </c>
      <c r="AW152" s="3" t="s">
        <v>2084</v>
      </c>
      <c r="AX152" s="3" t="s">
        <v>2084</v>
      </c>
      <c r="AY152" s="3" t="s">
        <v>2085</v>
      </c>
      <c r="AZ152" s="3" t="s">
        <v>73</v>
      </c>
      <c r="BB152" s="3" t="s">
        <v>2086</v>
      </c>
      <c r="BC152" s="3" t="s">
        <v>2087</v>
      </c>
      <c r="BD152" s="3" t="s">
        <v>2088</v>
      </c>
    </row>
    <row r="153" spans="1:56" ht="45" customHeight="1" x14ac:dyDescent="0.25">
      <c r="A153" s="8" t="s">
        <v>58</v>
      </c>
      <c r="B153" s="2" t="s">
        <v>2089</v>
      </c>
      <c r="C153" s="2" t="s">
        <v>2090</v>
      </c>
      <c r="D153" s="2" t="s">
        <v>2091</v>
      </c>
      <c r="F153" s="3" t="s">
        <v>58</v>
      </c>
      <c r="G153" s="3" t="s">
        <v>59</v>
      </c>
      <c r="H153" s="3" t="s">
        <v>58</v>
      </c>
      <c r="I153" s="3" t="s">
        <v>58</v>
      </c>
      <c r="J153" s="3" t="s">
        <v>60</v>
      </c>
      <c r="K153" s="2" t="s">
        <v>2092</v>
      </c>
      <c r="L153" s="2" t="s">
        <v>2093</v>
      </c>
      <c r="M153" s="3" t="s">
        <v>291</v>
      </c>
      <c r="O153" s="3" t="s">
        <v>64</v>
      </c>
      <c r="P153" s="3" t="s">
        <v>114</v>
      </c>
      <c r="Q153" s="2" t="s">
        <v>2094</v>
      </c>
      <c r="R153" s="3" t="s">
        <v>66</v>
      </c>
      <c r="S153" s="4">
        <v>2</v>
      </c>
      <c r="T153" s="4">
        <v>2</v>
      </c>
      <c r="U153" s="5" t="s">
        <v>1287</v>
      </c>
      <c r="V153" s="5" t="s">
        <v>1287</v>
      </c>
      <c r="W153" s="5" t="s">
        <v>1926</v>
      </c>
      <c r="X153" s="5" t="s">
        <v>1926</v>
      </c>
      <c r="Y153" s="4">
        <v>314</v>
      </c>
      <c r="Z153" s="4">
        <v>197</v>
      </c>
      <c r="AA153" s="4">
        <v>198</v>
      </c>
      <c r="AB153" s="4">
        <v>2</v>
      </c>
      <c r="AC153" s="4">
        <v>2</v>
      </c>
      <c r="AD153" s="4">
        <v>6</v>
      </c>
      <c r="AE153" s="4">
        <v>6</v>
      </c>
      <c r="AF153" s="4">
        <v>2</v>
      </c>
      <c r="AG153" s="4">
        <v>2</v>
      </c>
      <c r="AH153" s="4">
        <v>2</v>
      </c>
      <c r="AI153" s="4">
        <v>2</v>
      </c>
      <c r="AJ153" s="4">
        <v>3</v>
      </c>
      <c r="AK153" s="4">
        <v>3</v>
      </c>
      <c r="AL153" s="4">
        <v>1</v>
      </c>
      <c r="AM153" s="4">
        <v>1</v>
      </c>
      <c r="AN153" s="4">
        <v>0</v>
      </c>
      <c r="AO153" s="4">
        <v>0</v>
      </c>
      <c r="AP153" s="3" t="s">
        <v>58</v>
      </c>
      <c r="AQ153" s="3" t="s">
        <v>68</v>
      </c>
      <c r="AR153" s="6" t="str">
        <f>HYPERLINK("http://catalog.hathitrust.org/Record/002194716","HathiTrust Record")</f>
        <v>HathiTrust Record</v>
      </c>
      <c r="AS153" s="6" t="str">
        <f>HYPERLINK("https://creighton-primo.hosted.exlibrisgroup.com/primo-explore/search?tab=default_tab&amp;search_scope=EVERYTHING&amp;vid=01CRU&amp;lang=en_US&amp;offset=0&amp;query=any,contains,991005173609702656","Catalog Record")</f>
        <v>Catalog Record</v>
      </c>
      <c r="AT153" s="6" t="str">
        <f>HYPERLINK("http://www.worldcat.org/oclc/7879806","WorldCat Record")</f>
        <v>WorldCat Record</v>
      </c>
      <c r="AU153" s="3" t="s">
        <v>2095</v>
      </c>
      <c r="AV153" s="3" t="s">
        <v>2096</v>
      </c>
      <c r="AW153" s="3" t="s">
        <v>2097</v>
      </c>
      <c r="AX153" s="3" t="s">
        <v>2097</v>
      </c>
      <c r="AY153" s="3" t="s">
        <v>2098</v>
      </c>
      <c r="AZ153" s="3" t="s">
        <v>73</v>
      </c>
      <c r="BB153" s="3" t="s">
        <v>2099</v>
      </c>
      <c r="BC153" s="3" t="s">
        <v>2100</v>
      </c>
      <c r="BD153" s="3" t="s">
        <v>2101</v>
      </c>
    </row>
    <row r="154" spans="1:56" ht="45" customHeight="1" x14ac:dyDescent="0.25">
      <c r="A154" s="8" t="s">
        <v>58</v>
      </c>
      <c r="B154" s="2" t="s">
        <v>2102</v>
      </c>
      <c r="C154" s="2" t="s">
        <v>2103</v>
      </c>
      <c r="D154" s="2" t="s">
        <v>2104</v>
      </c>
      <c r="F154" s="3" t="s">
        <v>58</v>
      </c>
      <c r="G154" s="3" t="s">
        <v>59</v>
      </c>
      <c r="H154" s="3" t="s">
        <v>58</v>
      </c>
      <c r="I154" s="3" t="s">
        <v>58</v>
      </c>
      <c r="J154" s="3" t="s">
        <v>60</v>
      </c>
      <c r="K154" s="2" t="s">
        <v>2105</v>
      </c>
      <c r="L154" s="2" t="s">
        <v>2106</v>
      </c>
      <c r="M154" s="3" t="s">
        <v>762</v>
      </c>
      <c r="O154" s="3" t="s">
        <v>64</v>
      </c>
      <c r="P154" s="3" t="s">
        <v>177</v>
      </c>
      <c r="R154" s="3" t="s">
        <v>66</v>
      </c>
      <c r="S154" s="4">
        <v>2</v>
      </c>
      <c r="T154" s="4">
        <v>2</v>
      </c>
      <c r="U154" s="5" t="s">
        <v>2107</v>
      </c>
      <c r="V154" s="5" t="s">
        <v>2107</v>
      </c>
      <c r="W154" s="5" t="s">
        <v>683</v>
      </c>
      <c r="X154" s="5" t="s">
        <v>683</v>
      </c>
      <c r="Y154" s="4">
        <v>401</v>
      </c>
      <c r="Z154" s="4">
        <v>320</v>
      </c>
      <c r="AA154" s="4">
        <v>402</v>
      </c>
      <c r="AB154" s="4">
        <v>4</v>
      </c>
      <c r="AC154" s="4">
        <v>4</v>
      </c>
      <c r="AD154" s="4">
        <v>14</v>
      </c>
      <c r="AE154" s="4">
        <v>18</v>
      </c>
      <c r="AF154" s="4">
        <v>3</v>
      </c>
      <c r="AG154" s="4">
        <v>5</v>
      </c>
      <c r="AH154" s="4">
        <v>3</v>
      </c>
      <c r="AI154" s="4">
        <v>4</v>
      </c>
      <c r="AJ154" s="4">
        <v>6</v>
      </c>
      <c r="AK154" s="4">
        <v>8</v>
      </c>
      <c r="AL154" s="4">
        <v>3</v>
      </c>
      <c r="AM154" s="4">
        <v>3</v>
      </c>
      <c r="AN154" s="4">
        <v>1</v>
      </c>
      <c r="AO154" s="4">
        <v>1</v>
      </c>
      <c r="AP154" s="3" t="s">
        <v>58</v>
      </c>
      <c r="AQ154" s="3" t="s">
        <v>68</v>
      </c>
      <c r="AR154" s="6" t="str">
        <f>HYPERLINK("http://catalog.hathitrust.org/Record/010093118","HathiTrust Record")</f>
        <v>HathiTrust Record</v>
      </c>
      <c r="AS154" s="6" t="str">
        <f>HYPERLINK("https://creighton-primo.hosted.exlibrisgroup.com/primo-explore/search?tab=default_tab&amp;search_scope=EVERYTHING&amp;vid=01CRU&amp;lang=en_US&amp;offset=0&amp;query=any,contains,991002695029702656","Catalog Record")</f>
        <v>Catalog Record</v>
      </c>
      <c r="AT154" s="6" t="str">
        <f>HYPERLINK("http://www.worldcat.org/oclc/403129","WorldCat Record")</f>
        <v>WorldCat Record</v>
      </c>
      <c r="AU154" s="3" t="s">
        <v>2108</v>
      </c>
      <c r="AV154" s="3" t="s">
        <v>2109</v>
      </c>
      <c r="AW154" s="3" t="s">
        <v>2110</v>
      </c>
      <c r="AX154" s="3" t="s">
        <v>2110</v>
      </c>
      <c r="AY154" s="3" t="s">
        <v>2111</v>
      </c>
      <c r="AZ154" s="3" t="s">
        <v>73</v>
      </c>
      <c r="BB154" s="3" t="s">
        <v>2112</v>
      </c>
      <c r="BC154" s="3" t="s">
        <v>2113</v>
      </c>
      <c r="BD154" s="3" t="s">
        <v>2114</v>
      </c>
    </row>
    <row r="155" spans="1:56" ht="45" customHeight="1" x14ac:dyDescent="0.25">
      <c r="A155" s="8" t="s">
        <v>58</v>
      </c>
      <c r="B155" s="2" t="s">
        <v>2115</v>
      </c>
      <c r="C155" s="2" t="s">
        <v>2116</v>
      </c>
      <c r="D155" s="2" t="s">
        <v>2117</v>
      </c>
      <c r="F155" s="3" t="s">
        <v>58</v>
      </c>
      <c r="G155" s="3" t="s">
        <v>59</v>
      </c>
      <c r="H155" s="3" t="s">
        <v>58</v>
      </c>
      <c r="I155" s="3" t="s">
        <v>58</v>
      </c>
      <c r="J155" s="3" t="s">
        <v>60</v>
      </c>
      <c r="K155" s="2" t="s">
        <v>2118</v>
      </c>
      <c r="L155" s="2" t="s">
        <v>2119</v>
      </c>
      <c r="M155" s="3" t="s">
        <v>2120</v>
      </c>
      <c r="N155" s="2" t="s">
        <v>292</v>
      </c>
      <c r="O155" s="3" t="s">
        <v>64</v>
      </c>
      <c r="P155" s="3" t="s">
        <v>177</v>
      </c>
      <c r="R155" s="3" t="s">
        <v>66</v>
      </c>
      <c r="S155" s="4">
        <v>2</v>
      </c>
      <c r="T155" s="4">
        <v>2</v>
      </c>
      <c r="U155" s="5" t="s">
        <v>2121</v>
      </c>
      <c r="V155" s="5" t="s">
        <v>2121</v>
      </c>
      <c r="W155" s="5" t="s">
        <v>2122</v>
      </c>
      <c r="X155" s="5" t="s">
        <v>2122</v>
      </c>
      <c r="Y155" s="4">
        <v>464</v>
      </c>
      <c r="Z155" s="4">
        <v>386</v>
      </c>
      <c r="AA155" s="4">
        <v>608</v>
      </c>
      <c r="AB155" s="4">
        <v>4</v>
      </c>
      <c r="AC155" s="4">
        <v>8</v>
      </c>
      <c r="AD155" s="4">
        <v>13</v>
      </c>
      <c r="AE155" s="4">
        <v>25</v>
      </c>
      <c r="AF155" s="4">
        <v>2</v>
      </c>
      <c r="AG155" s="4">
        <v>8</v>
      </c>
      <c r="AH155" s="4">
        <v>2</v>
      </c>
      <c r="AI155" s="4">
        <v>4</v>
      </c>
      <c r="AJ155" s="4">
        <v>8</v>
      </c>
      <c r="AK155" s="4">
        <v>15</v>
      </c>
      <c r="AL155" s="4">
        <v>2</v>
      </c>
      <c r="AM155" s="4">
        <v>4</v>
      </c>
      <c r="AN155" s="4">
        <v>0</v>
      </c>
      <c r="AO155" s="4">
        <v>0</v>
      </c>
      <c r="AP155" s="3" t="s">
        <v>58</v>
      </c>
      <c r="AQ155" s="3" t="s">
        <v>68</v>
      </c>
      <c r="AR155" s="6" t="str">
        <f>HYPERLINK("http://catalog.hathitrust.org/Record/001563388","HathiTrust Record")</f>
        <v>HathiTrust Record</v>
      </c>
      <c r="AS155" s="6" t="str">
        <f>HYPERLINK("https://creighton-primo.hosted.exlibrisgroup.com/primo-explore/search?tab=default_tab&amp;search_scope=EVERYTHING&amp;vid=01CRU&amp;lang=en_US&amp;offset=0&amp;query=any,contains,991002888539702656","Catalog Record")</f>
        <v>Catalog Record</v>
      </c>
      <c r="AT155" s="6" t="str">
        <f>HYPERLINK("http://www.worldcat.org/oclc/510246","WorldCat Record")</f>
        <v>WorldCat Record</v>
      </c>
      <c r="AU155" s="3" t="s">
        <v>2123</v>
      </c>
      <c r="AV155" s="3" t="s">
        <v>2124</v>
      </c>
      <c r="AW155" s="3" t="s">
        <v>2125</v>
      </c>
      <c r="AX155" s="3" t="s">
        <v>2125</v>
      </c>
      <c r="AY155" s="3" t="s">
        <v>2126</v>
      </c>
      <c r="AZ155" s="3" t="s">
        <v>73</v>
      </c>
      <c r="BC155" s="3" t="s">
        <v>2127</v>
      </c>
      <c r="BD155" s="3" t="s">
        <v>2128</v>
      </c>
    </row>
    <row r="156" spans="1:56" ht="45" customHeight="1" x14ac:dyDescent="0.25">
      <c r="A156" s="8" t="s">
        <v>58</v>
      </c>
      <c r="B156" s="2" t="s">
        <v>2129</v>
      </c>
      <c r="C156" s="2" t="s">
        <v>2130</v>
      </c>
      <c r="D156" s="2" t="s">
        <v>2131</v>
      </c>
      <c r="F156" s="3" t="s">
        <v>58</v>
      </c>
      <c r="G156" s="3" t="s">
        <v>59</v>
      </c>
      <c r="H156" s="3" t="s">
        <v>58</v>
      </c>
      <c r="I156" s="3" t="s">
        <v>58</v>
      </c>
      <c r="J156" s="3" t="s">
        <v>60</v>
      </c>
      <c r="K156" s="2" t="s">
        <v>2132</v>
      </c>
      <c r="L156" s="2" t="s">
        <v>2133</v>
      </c>
      <c r="M156" s="3" t="s">
        <v>2134</v>
      </c>
      <c r="O156" s="3" t="s">
        <v>64</v>
      </c>
      <c r="P156" s="3" t="s">
        <v>99</v>
      </c>
      <c r="Q156" s="2" t="s">
        <v>2135</v>
      </c>
      <c r="R156" s="3" t="s">
        <v>66</v>
      </c>
      <c r="S156" s="4">
        <v>6</v>
      </c>
      <c r="T156" s="4">
        <v>6</v>
      </c>
      <c r="U156" s="5" t="s">
        <v>2136</v>
      </c>
      <c r="V156" s="5" t="s">
        <v>2136</v>
      </c>
      <c r="W156" s="5" t="s">
        <v>2137</v>
      </c>
      <c r="X156" s="5" t="s">
        <v>2137</v>
      </c>
      <c r="Y156" s="4">
        <v>394</v>
      </c>
      <c r="Z156" s="4">
        <v>356</v>
      </c>
      <c r="AA156" s="4">
        <v>380</v>
      </c>
      <c r="AB156" s="4">
        <v>4</v>
      </c>
      <c r="AC156" s="4">
        <v>4</v>
      </c>
      <c r="AD156" s="4">
        <v>13</v>
      </c>
      <c r="AE156" s="4">
        <v>14</v>
      </c>
      <c r="AF156" s="4">
        <v>5</v>
      </c>
      <c r="AG156" s="4">
        <v>5</v>
      </c>
      <c r="AH156" s="4">
        <v>2</v>
      </c>
      <c r="AI156" s="4">
        <v>3</v>
      </c>
      <c r="AJ156" s="4">
        <v>6</v>
      </c>
      <c r="AK156" s="4">
        <v>7</v>
      </c>
      <c r="AL156" s="4">
        <v>3</v>
      </c>
      <c r="AM156" s="4">
        <v>3</v>
      </c>
      <c r="AN156" s="4">
        <v>0</v>
      </c>
      <c r="AO156" s="4">
        <v>0</v>
      </c>
      <c r="AP156" s="3" t="s">
        <v>58</v>
      </c>
      <c r="AQ156" s="3" t="s">
        <v>68</v>
      </c>
      <c r="AR156" s="6" t="str">
        <f>HYPERLINK("http://catalog.hathitrust.org/Record/000880840","HathiTrust Record")</f>
        <v>HathiTrust Record</v>
      </c>
      <c r="AS156" s="6" t="str">
        <f>HYPERLINK("https://creighton-primo.hosted.exlibrisgroup.com/primo-explore/search?tab=default_tab&amp;search_scope=EVERYTHING&amp;vid=01CRU&amp;lang=en_US&amp;offset=0&amp;query=any,contains,991002023689702656","Catalog Record")</f>
        <v>Catalog Record</v>
      </c>
      <c r="AT156" s="6" t="str">
        <f>HYPERLINK("http://www.worldcat.org/oclc/259595","WorldCat Record")</f>
        <v>WorldCat Record</v>
      </c>
      <c r="AU156" s="3" t="s">
        <v>2138</v>
      </c>
      <c r="AV156" s="3" t="s">
        <v>2139</v>
      </c>
      <c r="AW156" s="3" t="s">
        <v>2140</v>
      </c>
      <c r="AX156" s="3" t="s">
        <v>2140</v>
      </c>
      <c r="AY156" s="3" t="s">
        <v>2141</v>
      </c>
      <c r="AZ156" s="3" t="s">
        <v>73</v>
      </c>
      <c r="BC156" s="3" t="s">
        <v>2142</v>
      </c>
      <c r="BD156" s="3" t="s">
        <v>2143</v>
      </c>
    </row>
    <row r="157" spans="1:56" ht="45" customHeight="1" x14ac:dyDescent="0.25">
      <c r="A157" s="8" t="s">
        <v>58</v>
      </c>
      <c r="B157" s="2" t="s">
        <v>2144</v>
      </c>
      <c r="C157" s="2" t="s">
        <v>2145</v>
      </c>
      <c r="D157" s="2" t="s">
        <v>2146</v>
      </c>
      <c r="F157" s="3" t="s">
        <v>58</v>
      </c>
      <c r="G157" s="3" t="s">
        <v>59</v>
      </c>
      <c r="H157" s="3" t="s">
        <v>58</v>
      </c>
      <c r="I157" s="3" t="s">
        <v>58</v>
      </c>
      <c r="J157" s="3" t="s">
        <v>60</v>
      </c>
      <c r="L157" s="2" t="s">
        <v>1421</v>
      </c>
      <c r="M157" s="3" t="s">
        <v>249</v>
      </c>
      <c r="O157" s="3" t="s">
        <v>64</v>
      </c>
      <c r="P157" s="3" t="s">
        <v>191</v>
      </c>
      <c r="Q157" s="2" t="s">
        <v>2147</v>
      </c>
      <c r="R157" s="3" t="s">
        <v>66</v>
      </c>
      <c r="S157" s="4">
        <v>2</v>
      </c>
      <c r="T157" s="4">
        <v>2</v>
      </c>
      <c r="U157" s="5" t="s">
        <v>2107</v>
      </c>
      <c r="V157" s="5" t="s">
        <v>2107</v>
      </c>
      <c r="W157" s="5" t="s">
        <v>1926</v>
      </c>
      <c r="X157" s="5" t="s">
        <v>1926</v>
      </c>
      <c r="Y157" s="4">
        <v>358</v>
      </c>
      <c r="Z157" s="4">
        <v>277</v>
      </c>
      <c r="AA157" s="4">
        <v>284</v>
      </c>
      <c r="AB157" s="4">
        <v>3</v>
      </c>
      <c r="AC157" s="4">
        <v>3</v>
      </c>
      <c r="AD157" s="4">
        <v>8</v>
      </c>
      <c r="AE157" s="4">
        <v>8</v>
      </c>
      <c r="AF157" s="4">
        <v>0</v>
      </c>
      <c r="AG157" s="4">
        <v>0</v>
      </c>
      <c r="AH157" s="4">
        <v>3</v>
      </c>
      <c r="AI157" s="4">
        <v>3</v>
      </c>
      <c r="AJ157" s="4">
        <v>4</v>
      </c>
      <c r="AK157" s="4">
        <v>4</v>
      </c>
      <c r="AL157" s="4">
        <v>2</v>
      </c>
      <c r="AM157" s="4">
        <v>2</v>
      </c>
      <c r="AN157" s="4">
        <v>0</v>
      </c>
      <c r="AO157" s="4">
        <v>0</v>
      </c>
      <c r="AP157" s="3" t="s">
        <v>58</v>
      </c>
      <c r="AQ157" s="3" t="s">
        <v>68</v>
      </c>
      <c r="AR157" s="6" t="str">
        <f>HYPERLINK("http://catalog.hathitrust.org/Record/000135441","HathiTrust Record")</f>
        <v>HathiTrust Record</v>
      </c>
      <c r="AS157" s="6" t="str">
        <f>HYPERLINK("https://creighton-primo.hosted.exlibrisgroup.com/primo-explore/search?tab=default_tab&amp;search_scope=EVERYTHING&amp;vid=01CRU&amp;lang=en_US&amp;offset=0&amp;query=any,contains,991004528199702656","Catalog Record")</f>
        <v>Catalog Record</v>
      </c>
      <c r="AT157" s="6" t="str">
        <f>HYPERLINK("http://www.worldcat.org/oclc/3844306","WorldCat Record")</f>
        <v>WorldCat Record</v>
      </c>
      <c r="AU157" s="3" t="s">
        <v>2148</v>
      </c>
      <c r="AV157" s="3" t="s">
        <v>2149</v>
      </c>
      <c r="AW157" s="3" t="s">
        <v>2150</v>
      </c>
      <c r="AX157" s="3" t="s">
        <v>2150</v>
      </c>
      <c r="AY157" s="3" t="s">
        <v>2151</v>
      </c>
      <c r="AZ157" s="3" t="s">
        <v>73</v>
      </c>
      <c r="BB157" s="3" t="s">
        <v>2152</v>
      </c>
      <c r="BC157" s="3" t="s">
        <v>2153</v>
      </c>
      <c r="BD157" s="3" t="s">
        <v>2154</v>
      </c>
    </row>
    <row r="158" spans="1:56" ht="45" customHeight="1" x14ac:dyDescent="0.25">
      <c r="A158" s="8" t="s">
        <v>58</v>
      </c>
      <c r="B158" s="2" t="s">
        <v>2155</v>
      </c>
      <c r="C158" s="2" t="s">
        <v>2156</v>
      </c>
      <c r="D158" s="2" t="s">
        <v>2157</v>
      </c>
      <c r="F158" s="3" t="s">
        <v>58</v>
      </c>
      <c r="G158" s="3" t="s">
        <v>59</v>
      </c>
      <c r="H158" s="3" t="s">
        <v>58</v>
      </c>
      <c r="I158" s="3" t="s">
        <v>58</v>
      </c>
      <c r="J158" s="3" t="s">
        <v>60</v>
      </c>
      <c r="K158" s="2" t="s">
        <v>2158</v>
      </c>
      <c r="L158" s="2" t="s">
        <v>2159</v>
      </c>
      <c r="M158" s="3" t="s">
        <v>234</v>
      </c>
      <c r="O158" s="3" t="s">
        <v>64</v>
      </c>
      <c r="P158" s="3" t="s">
        <v>846</v>
      </c>
      <c r="R158" s="3" t="s">
        <v>66</v>
      </c>
      <c r="S158" s="4">
        <v>2</v>
      </c>
      <c r="T158" s="4">
        <v>2</v>
      </c>
      <c r="U158" s="5" t="s">
        <v>2160</v>
      </c>
      <c r="V158" s="5" t="s">
        <v>2160</v>
      </c>
      <c r="W158" s="5" t="s">
        <v>236</v>
      </c>
      <c r="X158" s="5" t="s">
        <v>236</v>
      </c>
      <c r="Y158" s="4">
        <v>63</v>
      </c>
      <c r="Z158" s="4">
        <v>57</v>
      </c>
      <c r="AA158" s="4">
        <v>59</v>
      </c>
      <c r="AB158" s="4">
        <v>2</v>
      </c>
      <c r="AC158" s="4">
        <v>2</v>
      </c>
      <c r="AD158" s="4">
        <v>1</v>
      </c>
      <c r="AE158" s="4">
        <v>1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1</v>
      </c>
      <c r="AM158" s="4">
        <v>1</v>
      </c>
      <c r="AN158" s="4">
        <v>0</v>
      </c>
      <c r="AO158" s="4">
        <v>0</v>
      </c>
      <c r="AP158" s="3" t="s">
        <v>58</v>
      </c>
      <c r="AQ158" s="3" t="s">
        <v>68</v>
      </c>
      <c r="AR158" s="6" t="str">
        <f>HYPERLINK("http://catalog.hathitrust.org/Record/000038039","HathiTrust Record")</f>
        <v>HathiTrust Record</v>
      </c>
      <c r="AS158" s="6" t="str">
        <f>HYPERLINK("https://creighton-primo.hosted.exlibrisgroup.com/primo-explore/search?tab=default_tab&amp;search_scope=EVERYTHING&amp;vid=01CRU&amp;lang=en_US&amp;offset=0&amp;query=any,contains,991005365129702656","Catalog Record")</f>
        <v>Catalog Record</v>
      </c>
      <c r="AT158" s="6" t="str">
        <f>HYPERLINK("http://www.worldcat.org/oclc/1733137","WorldCat Record")</f>
        <v>WorldCat Record</v>
      </c>
      <c r="AU158" s="3" t="s">
        <v>2161</v>
      </c>
      <c r="AV158" s="3" t="s">
        <v>2162</v>
      </c>
      <c r="AW158" s="3" t="s">
        <v>2163</v>
      </c>
      <c r="AX158" s="3" t="s">
        <v>2163</v>
      </c>
      <c r="AY158" s="3" t="s">
        <v>2164</v>
      </c>
      <c r="AZ158" s="3" t="s">
        <v>73</v>
      </c>
      <c r="BB158" s="3" t="s">
        <v>2165</v>
      </c>
      <c r="BC158" s="3" t="s">
        <v>2166</v>
      </c>
      <c r="BD158" s="3" t="s">
        <v>2167</v>
      </c>
    </row>
    <row r="159" spans="1:56" ht="45" customHeight="1" x14ac:dyDescent="0.25">
      <c r="A159" s="8" t="s">
        <v>58</v>
      </c>
      <c r="B159" s="2" t="s">
        <v>2168</v>
      </c>
      <c r="C159" s="2" t="s">
        <v>2169</v>
      </c>
      <c r="D159" s="2" t="s">
        <v>2170</v>
      </c>
      <c r="F159" s="3" t="s">
        <v>58</v>
      </c>
      <c r="G159" s="3" t="s">
        <v>59</v>
      </c>
      <c r="H159" s="3" t="s">
        <v>58</v>
      </c>
      <c r="I159" s="3" t="s">
        <v>58</v>
      </c>
      <c r="J159" s="3" t="s">
        <v>60</v>
      </c>
      <c r="K159" s="2" t="s">
        <v>2171</v>
      </c>
      <c r="L159" s="2" t="s">
        <v>1899</v>
      </c>
      <c r="M159" s="3" t="s">
        <v>378</v>
      </c>
      <c r="O159" s="3" t="s">
        <v>64</v>
      </c>
      <c r="P159" s="3" t="s">
        <v>65</v>
      </c>
      <c r="R159" s="3" t="s">
        <v>66</v>
      </c>
      <c r="S159" s="4">
        <v>3</v>
      </c>
      <c r="T159" s="4">
        <v>3</v>
      </c>
      <c r="U159" s="5" t="s">
        <v>2107</v>
      </c>
      <c r="V159" s="5" t="s">
        <v>2107</v>
      </c>
      <c r="W159" s="5" t="s">
        <v>1926</v>
      </c>
      <c r="X159" s="5" t="s">
        <v>1926</v>
      </c>
      <c r="Y159" s="4">
        <v>286</v>
      </c>
      <c r="Z159" s="4">
        <v>244</v>
      </c>
      <c r="AA159" s="4">
        <v>281</v>
      </c>
      <c r="AB159" s="4">
        <v>3</v>
      </c>
      <c r="AC159" s="4">
        <v>3</v>
      </c>
      <c r="AD159" s="4">
        <v>9</v>
      </c>
      <c r="AE159" s="4">
        <v>10</v>
      </c>
      <c r="AF159" s="4">
        <v>2</v>
      </c>
      <c r="AG159" s="4">
        <v>2</v>
      </c>
      <c r="AH159" s="4">
        <v>3</v>
      </c>
      <c r="AI159" s="4">
        <v>4</v>
      </c>
      <c r="AJ159" s="4">
        <v>4</v>
      </c>
      <c r="AK159" s="4">
        <v>4</v>
      </c>
      <c r="AL159" s="4">
        <v>2</v>
      </c>
      <c r="AM159" s="4">
        <v>2</v>
      </c>
      <c r="AN159" s="4">
        <v>0</v>
      </c>
      <c r="AO159" s="4">
        <v>0</v>
      </c>
      <c r="AP159" s="3" t="s">
        <v>58</v>
      </c>
      <c r="AQ159" s="3" t="s">
        <v>58</v>
      </c>
      <c r="AS159" s="6" t="str">
        <f>HYPERLINK("https://creighton-primo.hosted.exlibrisgroup.com/primo-explore/search?tab=default_tab&amp;search_scope=EVERYTHING&amp;vid=01CRU&amp;lang=en_US&amp;offset=0&amp;query=any,contains,991000434429702656","Catalog Record")</f>
        <v>Catalog Record</v>
      </c>
      <c r="AT159" s="6" t="str">
        <f>HYPERLINK("http://www.worldcat.org/oclc/10780833","WorldCat Record")</f>
        <v>WorldCat Record</v>
      </c>
      <c r="AU159" s="3" t="s">
        <v>2172</v>
      </c>
      <c r="AV159" s="3" t="s">
        <v>2173</v>
      </c>
      <c r="AW159" s="3" t="s">
        <v>2174</v>
      </c>
      <c r="AX159" s="3" t="s">
        <v>2174</v>
      </c>
      <c r="AY159" s="3" t="s">
        <v>2175</v>
      </c>
      <c r="AZ159" s="3" t="s">
        <v>73</v>
      </c>
      <c r="BB159" s="3" t="s">
        <v>2176</v>
      </c>
      <c r="BC159" s="3" t="s">
        <v>2177</v>
      </c>
      <c r="BD159" s="3" t="s">
        <v>2178</v>
      </c>
    </row>
    <row r="160" spans="1:56" ht="45" customHeight="1" x14ac:dyDescent="0.25">
      <c r="A160" s="8" t="s">
        <v>58</v>
      </c>
      <c r="B160" s="2" t="s">
        <v>2179</v>
      </c>
      <c r="C160" s="2" t="s">
        <v>2180</v>
      </c>
      <c r="D160" s="2" t="s">
        <v>2181</v>
      </c>
      <c r="F160" s="3" t="s">
        <v>58</v>
      </c>
      <c r="G160" s="3" t="s">
        <v>59</v>
      </c>
      <c r="H160" s="3" t="s">
        <v>58</v>
      </c>
      <c r="I160" s="3" t="s">
        <v>58</v>
      </c>
      <c r="J160" s="3" t="s">
        <v>60</v>
      </c>
      <c r="K160" s="2" t="s">
        <v>2182</v>
      </c>
      <c r="L160" s="2" t="s">
        <v>1506</v>
      </c>
      <c r="M160" s="3" t="s">
        <v>82</v>
      </c>
      <c r="O160" s="3" t="s">
        <v>64</v>
      </c>
      <c r="P160" s="3" t="s">
        <v>99</v>
      </c>
      <c r="R160" s="3" t="s">
        <v>66</v>
      </c>
      <c r="S160" s="4">
        <v>4</v>
      </c>
      <c r="T160" s="4">
        <v>4</v>
      </c>
      <c r="U160" s="5" t="s">
        <v>1287</v>
      </c>
      <c r="V160" s="5" t="s">
        <v>1287</v>
      </c>
      <c r="W160" s="5" t="s">
        <v>380</v>
      </c>
      <c r="X160" s="5" t="s">
        <v>380</v>
      </c>
      <c r="Y160" s="4">
        <v>206</v>
      </c>
      <c r="Z160" s="4">
        <v>184</v>
      </c>
      <c r="AA160" s="4">
        <v>191</v>
      </c>
      <c r="AB160" s="4">
        <v>3</v>
      </c>
      <c r="AC160" s="4">
        <v>3</v>
      </c>
      <c r="AD160" s="4">
        <v>6</v>
      </c>
      <c r="AE160" s="4">
        <v>6</v>
      </c>
      <c r="AF160" s="4">
        <v>0</v>
      </c>
      <c r="AG160" s="4">
        <v>0</v>
      </c>
      <c r="AH160" s="4">
        <v>2</v>
      </c>
      <c r="AI160" s="4">
        <v>2</v>
      </c>
      <c r="AJ160" s="4">
        <v>3</v>
      </c>
      <c r="AK160" s="4">
        <v>3</v>
      </c>
      <c r="AL160" s="4">
        <v>2</v>
      </c>
      <c r="AM160" s="4">
        <v>2</v>
      </c>
      <c r="AN160" s="4">
        <v>0</v>
      </c>
      <c r="AO160" s="4">
        <v>0</v>
      </c>
      <c r="AP160" s="3" t="s">
        <v>58</v>
      </c>
      <c r="AQ160" s="3" t="s">
        <v>68</v>
      </c>
      <c r="AR160" s="6" t="str">
        <f>HYPERLINK("http://catalog.hathitrust.org/Record/000684576","HathiTrust Record")</f>
        <v>HathiTrust Record</v>
      </c>
      <c r="AS160" s="6" t="str">
        <f>HYPERLINK("https://creighton-primo.hosted.exlibrisgroup.com/primo-explore/search?tab=default_tab&amp;search_scope=EVERYTHING&amp;vid=01CRU&amp;lang=en_US&amp;offset=0&amp;query=any,contains,991004658249702656","Catalog Record")</f>
        <v>Catalog Record</v>
      </c>
      <c r="AT160" s="6" t="str">
        <f>HYPERLINK("http://www.worldcat.org/oclc/4495908","WorldCat Record")</f>
        <v>WorldCat Record</v>
      </c>
      <c r="AU160" s="3" t="s">
        <v>2183</v>
      </c>
      <c r="AV160" s="3" t="s">
        <v>2184</v>
      </c>
      <c r="AW160" s="3" t="s">
        <v>2185</v>
      </c>
      <c r="AX160" s="3" t="s">
        <v>2185</v>
      </c>
      <c r="AY160" s="3" t="s">
        <v>2186</v>
      </c>
      <c r="AZ160" s="3" t="s">
        <v>73</v>
      </c>
      <c r="BB160" s="3" t="s">
        <v>2187</v>
      </c>
      <c r="BC160" s="3" t="s">
        <v>2188</v>
      </c>
      <c r="BD160" s="3" t="s">
        <v>2189</v>
      </c>
    </row>
    <row r="161" spans="1:56" ht="45" customHeight="1" x14ac:dyDescent="0.25">
      <c r="A161" s="8" t="s">
        <v>58</v>
      </c>
      <c r="B161" s="2" t="s">
        <v>2190</v>
      </c>
      <c r="C161" s="2" t="s">
        <v>2191</v>
      </c>
      <c r="D161" s="2" t="s">
        <v>2192</v>
      </c>
      <c r="F161" s="3" t="s">
        <v>58</v>
      </c>
      <c r="G161" s="3" t="s">
        <v>59</v>
      </c>
      <c r="H161" s="3" t="s">
        <v>58</v>
      </c>
      <c r="I161" s="3" t="s">
        <v>58</v>
      </c>
      <c r="J161" s="3" t="s">
        <v>60</v>
      </c>
      <c r="K161" s="2" t="s">
        <v>2193</v>
      </c>
      <c r="L161" s="2" t="s">
        <v>2194</v>
      </c>
      <c r="M161" s="3" t="s">
        <v>1166</v>
      </c>
      <c r="O161" s="3" t="s">
        <v>64</v>
      </c>
      <c r="P161" s="3" t="s">
        <v>65</v>
      </c>
      <c r="R161" s="3" t="s">
        <v>66</v>
      </c>
      <c r="S161" s="4">
        <v>1</v>
      </c>
      <c r="T161" s="4">
        <v>1</v>
      </c>
      <c r="U161" s="5" t="s">
        <v>1795</v>
      </c>
      <c r="V161" s="5" t="s">
        <v>1795</v>
      </c>
      <c r="W161" s="5" t="s">
        <v>2195</v>
      </c>
      <c r="X161" s="5" t="s">
        <v>2195</v>
      </c>
      <c r="Y161" s="4">
        <v>177</v>
      </c>
      <c r="Z161" s="4">
        <v>143</v>
      </c>
      <c r="AA161" s="4">
        <v>270</v>
      </c>
      <c r="AB161" s="4">
        <v>3</v>
      </c>
      <c r="AC161" s="4">
        <v>4</v>
      </c>
      <c r="AD161" s="4">
        <v>4</v>
      </c>
      <c r="AE161" s="4">
        <v>9</v>
      </c>
      <c r="AF161" s="4">
        <v>0</v>
      </c>
      <c r="AG161" s="4">
        <v>1</v>
      </c>
      <c r="AH161" s="4">
        <v>1</v>
      </c>
      <c r="AI161" s="4">
        <v>3</v>
      </c>
      <c r="AJ161" s="4">
        <v>1</v>
      </c>
      <c r="AK161" s="4">
        <v>3</v>
      </c>
      <c r="AL161" s="4">
        <v>2</v>
      </c>
      <c r="AM161" s="4">
        <v>3</v>
      </c>
      <c r="AN161" s="4">
        <v>0</v>
      </c>
      <c r="AO161" s="4">
        <v>0</v>
      </c>
      <c r="AP161" s="3" t="s">
        <v>58</v>
      </c>
      <c r="AQ161" s="3" t="s">
        <v>68</v>
      </c>
      <c r="AR161" s="6" t="str">
        <f>HYPERLINK("http://catalog.hathitrust.org/Record/003049320","HathiTrust Record")</f>
        <v>HathiTrust Record</v>
      </c>
      <c r="AS161" s="6" t="str">
        <f>HYPERLINK("https://creighton-primo.hosted.exlibrisgroup.com/primo-explore/search?tab=default_tab&amp;search_scope=EVERYTHING&amp;vid=01CRU&amp;lang=en_US&amp;offset=0&amp;query=any,contains,991002558909702656","Catalog Record")</f>
        <v>Catalog Record</v>
      </c>
      <c r="AT161" s="6" t="str">
        <f>HYPERLINK("http://www.worldcat.org/oclc/33246877","WorldCat Record")</f>
        <v>WorldCat Record</v>
      </c>
      <c r="AU161" s="3" t="s">
        <v>2196</v>
      </c>
      <c r="AV161" s="3" t="s">
        <v>2197</v>
      </c>
      <c r="AW161" s="3" t="s">
        <v>2198</v>
      </c>
      <c r="AX161" s="3" t="s">
        <v>2198</v>
      </c>
      <c r="AY161" s="3" t="s">
        <v>2199</v>
      </c>
      <c r="AZ161" s="3" t="s">
        <v>73</v>
      </c>
      <c r="BB161" s="3" t="s">
        <v>2200</v>
      </c>
      <c r="BC161" s="3" t="s">
        <v>2201</v>
      </c>
      <c r="BD161" s="3" t="s">
        <v>2202</v>
      </c>
    </row>
    <row r="162" spans="1:56" ht="45" customHeight="1" x14ac:dyDescent="0.25">
      <c r="A162" s="8" t="s">
        <v>58</v>
      </c>
      <c r="B162" s="2" t="s">
        <v>2203</v>
      </c>
      <c r="C162" s="2" t="s">
        <v>2204</v>
      </c>
      <c r="D162" s="2" t="s">
        <v>2205</v>
      </c>
      <c r="F162" s="3" t="s">
        <v>58</v>
      </c>
      <c r="G162" s="3" t="s">
        <v>59</v>
      </c>
      <c r="H162" s="3" t="s">
        <v>58</v>
      </c>
      <c r="I162" s="3" t="s">
        <v>58</v>
      </c>
      <c r="J162" s="3" t="s">
        <v>60</v>
      </c>
      <c r="K162" s="2" t="s">
        <v>2206</v>
      </c>
      <c r="L162" s="2" t="s">
        <v>2207</v>
      </c>
      <c r="M162" s="3" t="s">
        <v>2208</v>
      </c>
      <c r="O162" s="3" t="s">
        <v>64</v>
      </c>
      <c r="P162" s="3" t="s">
        <v>177</v>
      </c>
      <c r="R162" s="3" t="s">
        <v>66</v>
      </c>
      <c r="S162" s="4">
        <v>1</v>
      </c>
      <c r="T162" s="4">
        <v>1</v>
      </c>
      <c r="U162" s="5" t="s">
        <v>252</v>
      </c>
      <c r="V162" s="5" t="s">
        <v>252</v>
      </c>
      <c r="W162" s="5" t="s">
        <v>2029</v>
      </c>
      <c r="X162" s="5" t="s">
        <v>2029</v>
      </c>
      <c r="Y162" s="4">
        <v>631</v>
      </c>
      <c r="Z162" s="4">
        <v>508</v>
      </c>
      <c r="AA162" s="4">
        <v>516</v>
      </c>
      <c r="AB162" s="4">
        <v>7</v>
      </c>
      <c r="AC162" s="4">
        <v>7</v>
      </c>
      <c r="AD162" s="4">
        <v>23</v>
      </c>
      <c r="AE162" s="4">
        <v>23</v>
      </c>
      <c r="AF162" s="4">
        <v>8</v>
      </c>
      <c r="AG162" s="4">
        <v>8</v>
      </c>
      <c r="AH162" s="4">
        <v>4</v>
      </c>
      <c r="AI162" s="4">
        <v>4</v>
      </c>
      <c r="AJ162" s="4">
        <v>9</v>
      </c>
      <c r="AK162" s="4">
        <v>9</v>
      </c>
      <c r="AL162" s="4">
        <v>6</v>
      </c>
      <c r="AM162" s="4">
        <v>6</v>
      </c>
      <c r="AN162" s="4">
        <v>0</v>
      </c>
      <c r="AO162" s="4">
        <v>0</v>
      </c>
      <c r="AP162" s="3" t="s">
        <v>58</v>
      </c>
      <c r="AQ162" s="3" t="s">
        <v>68</v>
      </c>
      <c r="AR162" s="6" t="str">
        <f>HYPERLINK("http://catalog.hathitrust.org/Record/001570758","HathiTrust Record")</f>
        <v>HathiTrust Record</v>
      </c>
      <c r="AS162" s="6" t="str">
        <f>HYPERLINK("https://creighton-primo.hosted.exlibrisgroup.com/primo-explore/search?tab=default_tab&amp;search_scope=EVERYTHING&amp;vid=01CRU&amp;lang=en_US&amp;offset=0&amp;query=any,contains,991005433429702656","Catalog Record")</f>
        <v>Catalog Record</v>
      </c>
      <c r="AT162" s="6" t="str">
        <f>HYPERLINK("http://www.worldcat.org/oclc/1814","WorldCat Record")</f>
        <v>WorldCat Record</v>
      </c>
      <c r="AU162" s="3" t="s">
        <v>2209</v>
      </c>
      <c r="AV162" s="3" t="s">
        <v>2210</v>
      </c>
      <c r="AW162" s="3" t="s">
        <v>2211</v>
      </c>
      <c r="AX162" s="3" t="s">
        <v>2211</v>
      </c>
      <c r="AY162" s="3" t="s">
        <v>2212</v>
      </c>
      <c r="AZ162" s="3" t="s">
        <v>73</v>
      </c>
      <c r="BC162" s="3" t="s">
        <v>2213</v>
      </c>
      <c r="BD162" s="3" t="s">
        <v>2214</v>
      </c>
    </row>
    <row r="163" spans="1:56" ht="45" customHeight="1" x14ac:dyDescent="0.25">
      <c r="A163" s="8" t="s">
        <v>58</v>
      </c>
      <c r="B163" s="2" t="s">
        <v>2215</v>
      </c>
      <c r="C163" s="2" t="s">
        <v>2216</v>
      </c>
      <c r="D163" s="2" t="s">
        <v>2217</v>
      </c>
      <c r="F163" s="3" t="s">
        <v>58</v>
      </c>
      <c r="G163" s="3" t="s">
        <v>59</v>
      </c>
      <c r="H163" s="3" t="s">
        <v>58</v>
      </c>
      <c r="I163" s="3" t="s">
        <v>58</v>
      </c>
      <c r="J163" s="3" t="s">
        <v>60</v>
      </c>
      <c r="K163" s="2" t="s">
        <v>2218</v>
      </c>
      <c r="L163" s="2" t="s">
        <v>1421</v>
      </c>
      <c r="M163" s="3" t="s">
        <v>249</v>
      </c>
      <c r="O163" s="3" t="s">
        <v>64</v>
      </c>
      <c r="P163" s="3" t="s">
        <v>191</v>
      </c>
      <c r="R163" s="3" t="s">
        <v>66</v>
      </c>
      <c r="S163" s="4">
        <v>2</v>
      </c>
      <c r="T163" s="4">
        <v>2</v>
      </c>
      <c r="U163" s="5" t="s">
        <v>2107</v>
      </c>
      <c r="V163" s="5" t="s">
        <v>2107</v>
      </c>
      <c r="W163" s="5" t="s">
        <v>1926</v>
      </c>
      <c r="X163" s="5" t="s">
        <v>1926</v>
      </c>
      <c r="Y163" s="4">
        <v>242</v>
      </c>
      <c r="Z163" s="4">
        <v>196</v>
      </c>
      <c r="AA163" s="4">
        <v>202</v>
      </c>
      <c r="AB163" s="4">
        <v>3</v>
      </c>
      <c r="AC163" s="4">
        <v>3</v>
      </c>
      <c r="AD163" s="4">
        <v>5</v>
      </c>
      <c r="AE163" s="4">
        <v>5</v>
      </c>
      <c r="AF163" s="4">
        <v>1</v>
      </c>
      <c r="AG163" s="4">
        <v>1</v>
      </c>
      <c r="AH163" s="4">
        <v>1</v>
      </c>
      <c r="AI163" s="4">
        <v>1</v>
      </c>
      <c r="AJ163" s="4">
        <v>2</v>
      </c>
      <c r="AK163" s="4">
        <v>2</v>
      </c>
      <c r="AL163" s="4">
        <v>2</v>
      </c>
      <c r="AM163" s="4">
        <v>2</v>
      </c>
      <c r="AN163" s="4">
        <v>0</v>
      </c>
      <c r="AO163" s="4">
        <v>0</v>
      </c>
      <c r="AP163" s="3" t="s">
        <v>58</v>
      </c>
      <c r="AQ163" s="3" t="s">
        <v>68</v>
      </c>
      <c r="AR163" s="6" t="str">
        <f>HYPERLINK("http://catalog.hathitrust.org/Record/102011444","HathiTrust Record")</f>
        <v>HathiTrust Record</v>
      </c>
      <c r="AS163" s="6" t="str">
        <f>HYPERLINK("https://creighton-primo.hosted.exlibrisgroup.com/primo-explore/search?tab=default_tab&amp;search_scope=EVERYTHING&amp;vid=01CRU&amp;lang=en_US&amp;offset=0&amp;query=any,contains,991004525159702656","Catalog Record")</f>
        <v>Catalog Record</v>
      </c>
      <c r="AT163" s="6" t="str">
        <f>HYPERLINK("http://www.worldcat.org/oclc/3843159","WorldCat Record")</f>
        <v>WorldCat Record</v>
      </c>
      <c r="AU163" s="3" t="s">
        <v>2219</v>
      </c>
      <c r="AV163" s="3" t="s">
        <v>2220</v>
      </c>
      <c r="AW163" s="3" t="s">
        <v>2221</v>
      </c>
      <c r="AX163" s="3" t="s">
        <v>2221</v>
      </c>
      <c r="AY163" s="3" t="s">
        <v>2222</v>
      </c>
      <c r="AZ163" s="3" t="s">
        <v>73</v>
      </c>
      <c r="BB163" s="3" t="s">
        <v>2223</v>
      </c>
      <c r="BC163" s="3" t="s">
        <v>2224</v>
      </c>
      <c r="BD163" s="3" t="s">
        <v>2225</v>
      </c>
    </row>
    <row r="164" spans="1:56" ht="45" customHeight="1" x14ac:dyDescent="0.25">
      <c r="A164" s="8" t="s">
        <v>58</v>
      </c>
      <c r="B164" s="2" t="s">
        <v>2226</v>
      </c>
      <c r="C164" s="2" t="s">
        <v>2227</v>
      </c>
      <c r="D164" s="2" t="s">
        <v>2228</v>
      </c>
      <c r="F164" s="3" t="s">
        <v>58</v>
      </c>
      <c r="G164" s="3" t="s">
        <v>59</v>
      </c>
      <c r="H164" s="3" t="s">
        <v>58</v>
      </c>
      <c r="I164" s="3" t="s">
        <v>58</v>
      </c>
      <c r="J164" s="3" t="s">
        <v>60</v>
      </c>
      <c r="K164" s="2" t="s">
        <v>2229</v>
      </c>
      <c r="L164" s="2" t="s">
        <v>2230</v>
      </c>
      <c r="M164" s="3" t="s">
        <v>407</v>
      </c>
      <c r="O164" s="3" t="s">
        <v>64</v>
      </c>
      <c r="P164" s="3" t="s">
        <v>114</v>
      </c>
      <c r="R164" s="3" t="s">
        <v>66</v>
      </c>
      <c r="S164" s="4">
        <v>7</v>
      </c>
      <c r="T164" s="4">
        <v>7</v>
      </c>
      <c r="U164" s="5" t="s">
        <v>2231</v>
      </c>
      <c r="V164" s="5" t="s">
        <v>2231</v>
      </c>
      <c r="W164" s="5" t="s">
        <v>2232</v>
      </c>
      <c r="X164" s="5" t="s">
        <v>2232</v>
      </c>
      <c r="Y164" s="4">
        <v>285</v>
      </c>
      <c r="Z164" s="4">
        <v>130</v>
      </c>
      <c r="AA164" s="4">
        <v>178</v>
      </c>
      <c r="AB164" s="4">
        <v>2</v>
      </c>
      <c r="AC164" s="4">
        <v>2</v>
      </c>
      <c r="AD164" s="4">
        <v>2</v>
      </c>
      <c r="AE164" s="4">
        <v>2</v>
      </c>
      <c r="AF164" s="4">
        <v>1</v>
      </c>
      <c r="AG164" s="4">
        <v>1</v>
      </c>
      <c r="AH164" s="4">
        <v>1</v>
      </c>
      <c r="AI164" s="4">
        <v>1</v>
      </c>
      <c r="AJ164" s="4">
        <v>0</v>
      </c>
      <c r="AK164" s="4">
        <v>0</v>
      </c>
      <c r="AL164" s="4">
        <v>1</v>
      </c>
      <c r="AM164" s="4">
        <v>1</v>
      </c>
      <c r="AN164" s="4">
        <v>0</v>
      </c>
      <c r="AO164" s="4">
        <v>0</v>
      </c>
      <c r="AP164" s="3" t="s">
        <v>58</v>
      </c>
      <c r="AQ164" s="3" t="s">
        <v>58</v>
      </c>
      <c r="AS164" s="6" t="str">
        <f>HYPERLINK("https://creighton-primo.hosted.exlibrisgroup.com/primo-explore/search?tab=default_tab&amp;search_scope=EVERYTHING&amp;vid=01CRU&amp;lang=en_US&amp;offset=0&amp;query=any,contains,991004410429702656","Catalog Record")</f>
        <v>Catalog Record</v>
      </c>
      <c r="AT164" s="6" t="str">
        <f>HYPERLINK("http://www.worldcat.org/oclc/3337161","WorldCat Record")</f>
        <v>WorldCat Record</v>
      </c>
      <c r="AU164" s="3" t="s">
        <v>2233</v>
      </c>
      <c r="AV164" s="3" t="s">
        <v>2234</v>
      </c>
      <c r="AW164" s="3" t="s">
        <v>2235</v>
      </c>
      <c r="AX164" s="3" t="s">
        <v>2235</v>
      </c>
      <c r="AY164" s="3" t="s">
        <v>2236</v>
      </c>
      <c r="AZ164" s="3" t="s">
        <v>73</v>
      </c>
      <c r="BB164" s="3" t="s">
        <v>2237</v>
      </c>
      <c r="BC164" s="3" t="s">
        <v>2238</v>
      </c>
      <c r="BD164" s="3" t="s">
        <v>2239</v>
      </c>
    </row>
    <row r="165" spans="1:56" ht="45" customHeight="1" x14ac:dyDescent="0.25">
      <c r="A165" s="8" t="s">
        <v>58</v>
      </c>
      <c r="B165" s="2" t="s">
        <v>2240</v>
      </c>
      <c r="C165" s="2" t="s">
        <v>2241</v>
      </c>
      <c r="D165" s="2" t="s">
        <v>2242</v>
      </c>
      <c r="F165" s="3" t="s">
        <v>58</v>
      </c>
      <c r="G165" s="3" t="s">
        <v>59</v>
      </c>
      <c r="H165" s="3" t="s">
        <v>58</v>
      </c>
      <c r="I165" s="3" t="s">
        <v>58</v>
      </c>
      <c r="J165" s="3" t="s">
        <v>60</v>
      </c>
      <c r="K165" s="2" t="s">
        <v>2243</v>
      </c>
      <c r="L165" s="2" t="s">
        <v>2244</v>
      </c>
      <c r="M165" s="3" t="s">
        <v>234</v>
      </c>
      <c r="O165" s="3" t="s">
        <v>64</v>
      </c>
      <c r="P165" s="3" t="s">
        <v>2245</v>
      </c>
      <c r="Q165" s="2" t="s">
        <v>2246</v>
      </c>
      <c r="R165" s="3" t="s">
        <v>66</v>
      </c>
      <c r="S165" s="4">
        <v>1</v>
      </c>
      <c r="T165" s="4">
        <v>1</v>
      </c>
      <c r="U165" s="5" t="s">
        <v>2247</v>
      </c>
      <c r="V165" s="5" t="s">
        <v>2247</v>
      </c>
      <c r="W165" s="5" t="s">
        <v>236</v>
      </c>
      <c r="X165" s="5" t="s">
        <v>236</v>
      </c>
      <c r="Y165" s="4">
        <v>255</v>
      </c>
      <c r="Z165" s="4">
        <v>225</v>
      </c>
      <c r="AA165" s="4">
        <v>232</v>
      </c>
      <c r="AB165" s="4">
        <v>4</v>
      </c>
      <c r="AC165" s="4">
        <v>4</v>
      </c>
      <c r="AD165" s="4">
        <v>10</v>
      </c>
      <c r="AE165" s="4">
        <v>10</v>
      </c>
      <c r="AF165" s="4">
        <v>5</v>
      </c>
      <c r="AG165" s="4">
        <v>5</v>
      </c>
      <c r="AH165" s="4">
        <v>0</v>
      </c>
      <c r="AI165" s="4">
        <v>0</v>
      </c>
      <c r="AJ165" s="4">
        <v>4</v>
      </c>
      <c r="AK165" s="4">
        <v>4</v>
      </c>
      <c r="AL165" s="4">
        <v>3</v>
      </c>
      <c r="AM165" s="4">
        <v>3</v>
      </c>
      <c r="AN165" s="4">
        <v>0</v>
      </c>
      <c r="AO165" s="4">
        <v>0</v>
      </c>
      <c r="AP165" s="3" t="s">
        <v>58</v>
      </c>
      <c r="AQ165" s="3" t="s">
        <v>68</v>
      </c>
      <c r="AR165" s="6" t="str">
        <f>HYPERLINK("http://catalog.hathitrust.org/Record/000034949","HathiTrust Record")</f>
        <v>HathiTrust Record</v>
      </c>
      <c r="AS165" s="6" t="str">
        <f>HYPERLINK("https://creighton-primo.hosted.exlibrisgroup.com/primo-explore/search?tab=default_tab&amp;search_scope=EVERYTHING&amp;vid=01CRU&amp;lang=en_US&amp;offset=0&amp;query=any,contains,991003691289702656","Catalog Record")</f>
        <v>Catalog Record</v>
      </c>
      <c r="AT165" s="6" t="str">
        <f>HYPERLINK("http://www.worldcat.org/oclc/1322248","WorldCat Record")</f>
        <v>WorldCat Record</v>
      </c>
      <c r="AU165" s="3" t="s">
        <v>2248</v>
      </c>
      <c r="AV165" s="3" t="s">
        <v>2249</v>
      </c>
      <c r="AW165" s="3" t="s">
        <v>2250</v>
      </c>
      <c r="AX165" s="3" t="s">
        <v>2250</v>
      </c>
      <c r="AY165" s="3" t="s">
        <v>2251</v>
      </c>
      <c r="AZ165" s="3" t="s">
        <v>73</v>
      </c>
      <c r="BB165" s="3" t="s">
        <v>2252</v>
      </c>
      <c r="BC165" s="3" t="s">
        <v>2253</v>
      </c>
      <c r="BD165" s="3" t="s">
        <v>2254</v>
      </c>
    </row>
    <row r="166" spans="1:56" ht="45" customHeight="1" x14ac:dyDescent="0.25">
      <c r="A166" s="8" t="s">
        <v>58</v>
      </c>
      <c r="B166" s="2" t="s">
        <v>2255</v>
      </c>
      <c r="C166" s="2" t="s">
        <v>2256</v>
      </c>
      <c r="D166" s="2" t="s">
        <v>2257</v>
      </c>
      <c r="F166" s="3" t="s">
        <v>58</v>
      </c>
      <c r="G166" s="3" t="s">
        <v>59</v>
      </c>
      <c r="H166" s="3" t="s">
        <v>58</v>
      </c>
      <c r="I166" s="3" t="s">
        <v>58</v>
      </c>
      <c r="J166" s="3" t="s">
        <v>60</v>
      </c>
      <c r="K166" s="2" t="s">
        <v>2258</v>
      </c>
      <c r="L166" s="2" t="s">
        <v>479</v>
      </c>
      <c r="M166" s="3" t="s">
        <v>480</v>
      </c>
      <c r="N166" s="2" t="s">
        <v>567</v>
      </c>
      <c r="O166" s="3" t="s">
        <v>64</v>
      </c>
      <c r="P166" s="3" t="s">
        <v>177</v>
      </c>
      <c r="R166" s="3" t="s">
        <v>66</v>
      </c>
      <c r="S166" s="4">
        <v>4</v>
      </c>
      <c r="T166" s="4">
        <v>4</v>
      </c>
      <c r="U166" s="5" t="s">
        <v>2259</v>
      </c>
      <c r="V166" s="5" t="s">
        <v>2259</v>
      </c>
      <c r="W166" s="5" t="s">
        <v>1926</v>
      </c>
      <c r="X166" s="5" t="s">
        <v>1926</v>
      </c>
      <c r="Y166" s="4">
        <v>418</v>
      </c>
      <c r="Z166" s="4">
        <v>309</v>
      </c>
      <c r="AA166" s="4">
        <v>499</v>
      </c>
      <c r="AB166" s="4">
        <v>4</v>
      </c>
      <c r="AC166" s="4">
        <v>6</v>
      </c>
      <c r="AD166" s="4">
        <v>16</v>
      </c>
      <c r="AE166" s="4">
        <v>22</v>
      </c>
      <c r="AF166" s="4">
        <v>2</v>
      </c>
      <c r="AG166" s="4">
        <v>4</v>
      </c>
      <c r="AH166" s="4">
        <v>5</v>
      </c>
      <c r="AI166" s="4">
        <v>6</v>
      </c>
      <c r="AJ166" s="4">
        <v>10</v>
      </c>
      <c r="AK166" s="4">
        <v>13</v>
      </c>
      <c r="AL166" s="4">
        <v>3</v>
      </c>
      <c r="AM166" s="4">
        <v>5</v>
      </c>
      <c r="AN166" s="4">
        <v>0</v>
      </c>
      <c r="AO166" s="4">
        <v>0</v>
      </c>
      <c r="AP166" s="3" t="s">
        <v>58</v>
      </c>
      <c r="AQ166" s="3" t="s">
        <v>68</v>
      </c>
      <c r="AR166" s="6" t="str">
        <f>HYPERLINK("http://catalog.hathitrust.org/Record/000114028","HathiTrust Record")</f>
        <v>HathiTrust Record</v>
      </c>
      <c r="AS166" s="6" t="str">
        <f>HYPERLINK("https://creighton-primo.hosted.exlibrisgroup.com/primo-explore/search?tab=default_tab&amp;search_scope=EVERYTHING&amp;vid=01CRU&amp;lang=en_US&amp;offset=0&amp;query=any,contains,991005226749702656","Catalog Record")</f>
        <v>Catalog Record</v>
      </c>
      <c r="AT166" s="6" t="str">
        <f>HYPERLINK("http://www.worldcat.org/oclc/8283189","WorldCat Record")</f>
        <v>WorldCat Record</v>
      </c>
      <c r="AU166" s="3" t="s">
        <v>2260</v>
      </c>
      <c r="AV166" s="3" t="s">
        <v>2261</v>
      </c>
      <c r="AW166" s="3" t="s">
        <v>2262</v>
      </c>
      <c r="AX166" s="3" t="s">
        <v>2262</v>
      </c>
      <c r="AY166" s="3" t="s">
        <v>2263</v>
      </c>
      <c r="AZ166" s="3" t="s">
        <v>73</v>
      </c>
      <c r="BB166" s="3" t="s">
        <v>2264</v>
      </c>
      <c r="BC166" s="3" t="s">
        <v>2265</v>
      </c>
      <c r="BD166" s="3" t="s">
        <v>2266</v>
      </c>
    </row>
    <row r="167" spans="1:56" ht="45" customHeight="1" x14ac:dyDescent="0.25">
      <c r="A167" s="8" t="s">
        <v>58</v>
      </c>
      <c r="B167" s="2" t="s">
        <v>2267</v>
      </c>
      <c r="C167" s="2" t="s">
        <v>2268</v>
      </c>
      <c r="D167" s="2" t="s">
        <v>2269</v>
      </c>
      <c r="F167" s="3" t="s">
        <v>58</v>
      </c>
      <c r="G167" s="3" t="s">
        <v>59</v>
      </c>
      <c r="H167" s="3" t="s">
        <v>58</v>
      </c>
      <c r="I167" s="3" t="s">
        <v>58</v>
      </c>
      <c r="J167" s="3" t="s">
        <v>60</v>
      </c>
      <c r="K167" s="2" t="s">
        <v>2270</v>
      </c>
      <c r="L167" s="2" t="s">
        <v>2271</v>
      </c>
      <c r="M167" s="3" t="s">
        <v>291</v>
      </c>
      <c r="O167" s="3" t="s">
        <v>64</v>
      </c>
      <c r="P167" s="3" t="s">
        <v>191</v>
      </c>
      <c r="R167" s="3" t="s">
        <v>66</v>
      </c>
      <c r="S167" s="4">
        <v>5</v>
      </c>
      <c r="T167" s="4">
        <v>5</v>
      </c>
      <c r="U167" s="5" t="s">
        <v>2272</v>
      </c>
      <c r="V167" s="5" t="s">
        <v>2272</v>
      </c>
      <c r="W167" s="5" t="s">
        <v>622</v>
      </c>
      <c r="X167" s="5" t="s">
        <v>622</v>
      </c>
      <c r="Y167" s="4">
        <v>345</v>
      </c>
      <c r="Z167" s="4">
        <v>309</v>
      </c>
      <c r="AA167" s="4">
        <v>410</v>
      </c>
      <c r="AB167" s="4">
        <v>4</v>
      </c>
      <c r="AC167" s="4">
        <v>5</v>
      </c>
      <c r="AD167" s="4">
        <v>14</v>
      </c>
      <c r="AE167" s="4">
        <v>15</v>
      </c>
      <c r="AF167" s="4">
        <v>5</v>
      </c>
      <c r="AG167" s="4">
        <v>5</v>
      </c>
      <c r="AH167" s="4">
        <v>1</v>
      </c>
      <c r="AI167" s="4">
        <v>1</v>
      </c>
      <c r="AJ167" s="4">
        <v>8</v>
      </c>
      <c r="AK167" s="4">
        <v>8</v>
      </c>
      <c r="AL167" s="4">
        <v>3</v>
      </c>
      <c r="AM167" s="4">
        <v>4</v>
      </c>
      <c r="AN167" s="4">
        <v>0</v>
      </c>
      <c r="AO167" s="4">
        <v>0</v>
      </c>
      <c r="AP167" s="3" t="s">
        <v>58</v>
      </c>
      <c r="AQ167" s="3" t="s">
        <v>68</v>
      </c>
      <c r="AR167" s="6" t="str">
        <f>HYPERLINK("http://catalog.hathitrust.org/Record/009917038","HathiTrust Record")</f>
        <v>HathiTrust Record</v>
      </c>
      <c r="AS167" s="6" t="str">
        <f>HYPERLINK("https://creighton-primo.hosted.exlibrisgroup.com/primo-explore/search?tab=default_tab&amp;search_scope=EVERYTHING&amp;vid=01CRU&amp;lang=en_US&amp;offset=0&amp;query=any,contains,991005113019702656","Catalog Record")</f>
        <v>Catalog Record</v>
      </c>
      <c r="AT167" s="6" t="str">
        <f>HYPERLINK("http://www.worldcat.org/oclc/7459815","WorldCat Record")</f>
        <v>WorldCat Record</v>
      </c>
      <c r="AU167" s="3" t="s">
        <v>2273</v>
      </c>
      <c r="AV167" s="3" t="s">
        <v>2274</v>
      </c>
      <c r="AW167" s="3" t="s">
        <v>2275</v>
      </c>
      <c r="AX167" s="3" t="s">
        <v>2275</v>
      </c>
      <c r="AY167" s="3" t="s">
        <v>2276</v>
      </c>
      <c r="AZ167" s="3" t="s">
        <v>73</v>
      </c>
      <c r="BB167" s="3" t="s">
        <v>2277</v>
      </c>
      <c r="BC167" s="3" t="s">
        <v>2278</v>
      </c>
      <c r="BD167" s="3" t="s">
        <v>2279</v>
      </c>
    </row>
    <row r="168" spans="1:56" ht="45" customHeight="1" x14ac:dyDescent="0.25">
      <c r="A168" s="8" t="s">
        <v>58</v>
      </c>
      <c r="B168" s="2" t="s">
        <v>2280</v>
      </c>
      <c r="C168" s="2" t="s">
        <v>2281</v>
      </c>
      <c r="D168" s="2" t="s">
        <v>2282</v>
      </c>
      <c r="E168" s="3" t="s">
        <v>645</v>
      </c>
      <c r="F168" s="3" t="s">
        <v>68</v>
      </c>
      <c r="G168" s="3" t="s">
        <v>59</v>
      </c>
      <c r="H168" s="3" t="s">
        <v>58</v>
      </c>
      <c r="I168" s="3" t="s">
        <v>58</v>
      </c>
      <c r="J168" s="3" t="s">
        <v>60</v>
      </c>
      <c r="L168" s="2" t="s">
        <v>2283</v>
      </c>
      <c r="M168" s="3" t="s">
        <v>82</v>
      </c>
      <c r="O168" s="3" t="s">
        <v>64</v>
      </c>
      <c r="P168" s="3" t="s">
        <v>177</v>
      </c>
      <c r="R168" s="3" t="s">
        <v>66</v>
      </c>
      <c r="S168" s="4">
        <v>0</v>
      </c>
      <c r="T168" s="4">
        <v>5</v>
      </c>
      <c r="V168" s="5" t="s">
        <v>2284</v>
      </c>
      <c r="W168" s="5" t="s">
        <v>1926</v>
      </c>
      <c r="X168" s="5" t="s">
        <v>1926</v>
      </c>
      <c r="Y168" s="4">
        <v>702</v>
      </c>
      <c r="Z168" s="4">
        <v>594</v>
      </c>
      <c r="AA168" s="4">
        <v>601</v>
      </c>
      <c r="AB168" s="4">
        <v>6</v>
      </c>
      <c r="AC168" s="4">
        <v>6</v>
      </c>
      <c r="AD168" s="4">
        <v>12</v>
      </c>
      <c r="AE168" s="4">
        <v>12</v>
      </c>
      <c r="AF168" s="4">
        <v>0</v>
      </c>
      <c r="AG168" s="4">
        <v>0</v>
      </c>
      <c r="AH168" s="4">
        <v>3</v>
      </c>
      <c r="AI168" s="4">
        <v>3</v>
      </c>
      <c r="AJ168" s="4">
        <v>7</v>
      </c>
      <c r="AK168" s="4">
        <v>7</v>
      </c>
      <c r="AL168" s="4">
        <v>3</v>
      </c>
      <c r="AM168" s="4">
        <v>3</v>
      </c>
      <c r="AN168" s="4">
        <v>0</v>
      </c>
      <c r="AO168" s="4">
        <v>0</v>
      </c>
      <c r="AP168" s="3" t="s">
        <v>58</v>
      </c>
      <c r="AQ168" s="3" t="s">
        <v>68</v>
      </c>
      <c r="AR168" s="6" t="str">
        <f>HYPERLINK("http://catalog.hathitrust.org/Record/000103705","HathiTrust Record")</f>
        <v>HathiTrust Record</v>
      </c>
      <c r="AS168" s="6" t="str">
        <f>HYPERLINK("https://creighton-primo.hosted.exlibrisgroup.com/primo-explore/search?tab=default_tab&amp;search_scope=EVERYTHING&amp;vid=01CRU&amp;lang=en_US&amp;offset=0&amp;query=any,contains,991001772539702656","Catalog Record")</f>
        <v>Catalog Record</v>
      </c>
      <c r="AT168" s="6" t="str">
        <f>HYPERLINK("http://www.worldcat.org/oclc/4570504","WorldCat Record")</f>
        <v>WorldCat Record</v>
      </c>
      <c r="AU168" s="3" t="s">
        <v>2285</v>
      </c>
      <c r="AV168" s="3" t="s">
        <v>2286</v>
      </c>
      <c r="AW168" s="3" t="s">
        <v>2287</v>
      </c>
      <c r="AX168" s="3" t="s">
        <v>2287</v>
      </c>
      <c r="AY168" s="3" t="s">
        <v>2288</v>
      </c>
      <c r="AZ168" s="3" t="s">
        <v>73</v>
      </c>
      <c r="BB168" s="3" t="s">
        <v>2289</v>
      </c>
      <c r="BC168" s="3" t="s">
        <v>2290</v>
      </c>
      <c r="BD168" s="3" t="s">
        <v>2291</v>
      </c>
    </row>
    <row r="169" spans="1:56" ht="45" customHeight="1" x14ac:dyDescent="0.25">
      <c r="A169" s="8" t="s">
        <v>58</v>
      </c>
      <c r="B169" s="2" t="s">
        <v>2280</v>
      </c>
      <c r="C169" s="2" t="s">
        <v>2281</v>
      </c>
      <c r="D169" s="2" t="s">
        <v>2282</v>
      </c>
      <c r="E169" s="3" t="s">
        <v>2292</v>
      </c>
      <c r="F169" s="3" t="s">
        <v>68</v>
      </c>
      <c r="G169" s="3" t="s">
        <v>59</v>
      </c>
      <c r="H169" s="3" t="s">
        <v>58</v>
      </c>
      <c r="I169" s="3" t="s">
        <v>58</v>
      </c>
      <c r="J169" s="3" t="s">
        <v>60</v>
      </c>
      <c r="L169" s="2" t="s">
        <v>2283</v>
      </c>
      <c r="M169" s="3" t="s">
        <v>82</v>
      </c>
      <c r="O169" s="3" t="s">
        <v>64</v>
      </c>
      <c r="P169" s="3" t="s">
        <v>177</v>
      </c>
      <c r="R169" s="3" t="s">
        <v>66</v>
      </c>
      <c r="S169" s="4">
        <v>0</v>
      </c>
      <c r="T169" s="4">
        <v>5</v>
      </c>
      <c r="V169" s="5" t="s">
        <v>2284</v>
      </c>
      <c r="W169" s="5" t="s">
        <v>2293</v>
      </c>
      <c r="X169" s="5" t="s">
        <v>1926</v>
      </c>
      <c r="Y169" s="4">
        <v>702</v>
      </c>
      <c r="Z169" s="4">
        <v>594</v>
      </c>
      <c r="AA169" s="4">
        <v>601</v>
      </c>
      <c r="AB169" s="4">
        <v>6</v>
      </c>
      <c r="AC169" s="4">
        <v>6</v>
      </c>
      <c r="AD169" s="4">
        <v>12</v>
      </c>
      <c r="AE169" s="4">
        <v>12</v>
      </c>
      <c r="AF169" s="4">
        <v>0</v>
      </c>
      <c r="AG169" s="4">
        <v>0</v>
      </c>
      <c r="AH169" s="4">
        <v>3</v>
      </c>
      <c r="AI169" s="4">
        <v>3</v>
      </c>
      <c r="AJ169" s="4">
        <v>7</v>
      </c>
      <c r="AK169" s="4">
        <v>7</v>
      </c>
      <c r="AL169" s="4">
        <v>3</v>
      </c>
      <c r="AM169" s="4">
        <v>3</v>
      </c>
      <c r="AN169" s="4">
        <v>0</v>
      </c>
      <c r="AO169" s="4">
        <v>0</v>
      </c>
      <c r="AP169" s="3" t="s">
        <v>58</v>
      </c>
      <c r="AQ169" s="3" t="s">
        <v>68</v>
      </c>
      <c r="AR169" s="6" t="str">
        <f>HYPERLINK("http://catalog.hathitrust.org/Record/000103705","HathiTrust Record")</f>
        <v>HathiTrust Record</v>
      </c>
      <c r="AS169" s="6" t="str">
        <f>HYPERLINK("https://creighton-primo.hosted.exlibrisgroup.com/primo-explore/search?tab=default_tab&amp;search_scope=EVERYTHING&amp;vid=01CRU&amp;lang=en_US&amp;offset=0&amp;query=any,contains,991001772539702656","Catalog Record")</f>
        <v>Catalog Record</v>
      </c>
      <c r="AT169" s="6" t="str">
        <f>HYPERLINK("http://www.worldcat.org/oclc/4570504","WorldCat Record")</f>
        <v>WorldCat Record</v>
      </c>
      <c r="AU169" s="3" t="s">
        <v>2285</v>
      </c>
      <c r="AV169" s="3" t="s">
        <v>2286</v>
      </c>
      <c r="AW169" s="3" t="s">
        <v>2287</v>
      </c>
      <c r="AX169" s="3" t="s">
        <v>2287</v>
      </c>
      <c r="AY169" s="3" t="s">
        <v>2288</v>
      </c>
      <c r="AZ169" s="3" t="s">
        <v>73</v>
      </c>
      <c r="BB169" s="3" t="s">
        <v>2289</v>
      </c>
      <c r="BC169" s="3" t="s">
        <v>2294</v>
      </c>
      <c r="BD169" s="3" t="s">
        <v>2295</v>
      </c>
    </row>
    <row r="170" spans="1:56" ht="45" customHeight="1" x14ac:dyDescent="0.25">
      <c r="A170" s="8" t="s">
        <v>58</v>
      </c>
      <c r="B170" s="2" t="s">
        <v>2280</v>
      </c>
      <c r="C170" s="2" t="s">
        <v>2281</v>
      </c>
      <c r="D170" s="2" t="s">
        <v>2282</v>
      </c>
      <c r="E170" s="3" t="s">
        <v>633</v>
      </c>
      <c r="F170" s="3" t="s">
        <v>68</v>
      </c>
      <c r="G170" s="3" t="s">
        <v>59</v>
      </c>
      <c r="H170" s="3" t="s">
        <v>58</v>
      </c>
      <c r="I170" s="3" t="s">
        <v>58</v>
      </c>
      <c r="J170" s="3" t="s">
        <v>60</v>
      </c>
      <c r="L170" s="2" t="s">
        <v>2283</v>
      </c>
      <c r="M170" s="3" t="s">
        <v>82</v>
      </c>
      <c r="O170" s="3" t="s">
        <v>64</v>
      </c>
      <c r="P170" s="3" t="s">
        <v>177</v>
      </c>
      <c r="R170" s="3" t="s">
        <v>66</v>
      </c>
      <c r="S170" s="4">
        <v>1</v>
      </c>
      <c r="T170" s="4">
        <v>5</v>
      </c>
      <c r="V170" s="5" t="s">
        <v>2284</v>
      </c>
      <c r="W170" s="5" t="s">
        <v>1926</v>
      </c>
      <c r="X170" s="5" t="s">
        <v>1926</v>
      </c>
      <c r="Y170" s="4">
        <v>702</v>
      </c>
      <c r="Z170" s="4">
        <v>594</v>
      </c>
      <c r="AA170" s="4">
        <v>601</v>
      </c>
      <c r="AB170" s="4">
        <v>6</v>
      </c>
      <c r="AC170" s="4">
        <v>6</v>
      </c>
      <c r="AD170" s="4">
        <v>12</v>
      </c>
      <c r="AE170" s="4">
        <v>12</v>
      </c>
      <c r="AF170" s="4">
        <v>0</v>
      </c>
      <c r="AG170" s="4">
        <v>0</v>
      </c>
      <c r="AH170" s="4">
        <v>3</v>
      </c>
      <c r="AI170" s="4">
        <v>3</v>
      </c>
      <c r="AJ170" s="4">
        <v>7</v>
      </c>
      <c r="AK170" s="4">
        <v>7</v>
      </c>
      <c r="AL170" s="4">
        <v>3</v>
      </c>
      <c r="AM170" s="4">
        <v>3</v>
      </c>
      <c r="AN170" s="4">
        <v>0</v>
      </c>
      <c r="AO170" s="4">
        <v>0</v>
      </c>
      <c r="AP170" s="3" t="s">
        <v>58</v>
      </c>
      <c r="AQ170" s="3" t="s">
        <v>68</v>
      </c>
      <c r="AR170" s="6" t="str">
        <f>HYPERLINK("http://catalog.hathitrust.org/Record/000103705","HathiTrust Record")</f>
        <v>HathiTrust Record</v>
      </c>
      <c r="AS170" s="6" t="str">
        <f>HYPERLINK("https://creighton-primo.hosted.exlibrisgroup.com/primo-explore/search?tab=default_tab&amp;search_scope=EVERYTHING&amp;vid=01CRU&amp;lang=en_US&amp;offset=0&amp;query=any,contains,991001772539702656","Catalog Record")</f>
        <v>Catalog Record</v>
      </c>
      <c r="AT170" s="6" t="str">
        <f>HYPERLINK("http://www.worldcat.org/oclc/4570504","WorldCat Record")</f>
        <v>WorldCat Record</v>
      </c>
      <c r="AU170" s="3" t="s">
        <v>2285</v>
      </c>
      <c r="AV170" s="3" t="s">
        <v>2286</v>
      </c>
      <c r="AW170" s="3" t="s">
        <v>2287</v>
      </c>
      <c r="AX170" s="3" t="s">
        <v>2287</v>
      </c>
      <c r="AY170" s="3" t="s">
        <v>2288</v>
      </c>
      <c r="AZ170" s="3" t="s">
        <v>73</v>
      </c>
      <c r="BB170" s="3" t="s">
        <v>2289</v>
      </c>
      <c r="BC170" s="3" t="s">
        <v>2296</v>
      </c>
      <c r="BD170" s="3" t="s">
        <v>2297</v>
      </c>
    </row>
    <row r="171" spans="1:56" ht="45" customHeight="1" x14ac:dyDescent="0.25">
      <c r="A171" s="8" t="s">
        <v>58</v>
      </c>
      <c r="B171" s="2" t="s">
        <v>2280</v>
      </c>
      <c r="C171" s="2" t="s">
        <v>2281</v>
      </c>
      <c r="D171" s="2" t="s">
        <v>2282</v>
      </c>
      <c r="E171" s="3" t="s">
        <v>649</v>
      </c>
      <c r="F171" s="3" t="s">
        <v>68</v>
      </c>
      <c r="G171" s="3" t="s">
        <v>59</v>
      </c>
      <c r="H171" s="3" t="s">
        <v>58</v>
      </c>
      <c r="I171" s="3" t="s">
        <v>58</v>
      </c>
      <c r="J171" s="3" t="s">
        <v>60</v>
      </c>
      <c r="L171" s="2" t="s">
        <v>2283</v>
      </c>
      <c r="M171" s="3" t="s">
        <v>82</v>
      </c>
      <c r="O171" s="3" t="s">
        <v>64</v>
      </c>
      <c r="P171" s="3" t="s">
        <v>177</v>
      </c>
      <c r="R171" s="3" t="s">
        <v>66</v>
      </c>
      <c r="S171" s="4">
        <v>0</v>
      </c>
      <c r="T171" s="4">
        <v>5</v>
      </c>
      <c r="V171" s="5" t="s">
        <v>2284</v>
      </c>
      <c r="W171" s="5" t="s">
        <v>2298</v>
      </c>
      <c r="X171" s="5" t="s">
        <v>1926</v>
      </c>
      <c r="Y171" s="4">
        <v>702</v>
      </c>
      <c r="Z171" s="4">
        <v>594</v>
      </c>
      <c r="AA171" s="4">
        <v>601</v>
      </c>
      <c r="AB171" s="4">
        <v>6</v>
      </c>
      <c r="AC171" s="4">
        <v>6</v>
      </c>
      <c r="AD171" s="4">
        <v>12</v>
      </c>
      <c r="AE171" s="4">
        <v>12</v>
      </c>
      <c r="AF171" s="4">
        <v>0</v>
      </c>
      <c r="AG171" s="4">
        <v>0</v>
      </c>
      <c r="AH171" s="4">
        <v>3</v>
      </c>
      <c r="AI171" s="4">
        <v>3</v>
      </c>
      <c r="AJ171" s="4">
        <v>7</v>
      </c>
      <c r="AK171" s="4">
        <v>7</v>
      </c>
      <c r="AL171" s="4">
        <v>3</v>
      </c>
      <c r="AM171" s="4">
        <v>3</v>
      </c>
      <c r="AN171" s="4">
        <v>0</v>
      </c>
      <c r="AO171" s="4">
        <v>0</v>
      </c>
      <c r="AP171" s="3" t="s">
        <v>58</v>
      </c>
      <c r="AQ171" s="3" t="s">
        <v>68</v>
      </c>
      <c r="AR171" s="6" t="str">
        <f>HYPERLINK("http://catalog.hathitrust.org/Record/000103705","HathiTrust Record")</f>
        <v>HathiTrust Record</v>
      </c>
      <c r="AS171" s="6" t="str">
        <f>HYPERLINK("https://creighton-primo.hosted.exlibrisgroup.com/primo-explore/search?tab=default_tab&amp;search_scope=EVERYTHING&amp;vid=01CRU&amp;lang=en_US&amp;offset=0&amp;query=any,contains,991001772539702656","Catalog Record")</f>
        <v>Catalog Record</v>
      </c>
      <c r="AT171" s="6" t="str">
        <f>HYPERLINK("http://www.worldcat.org/oclc/4570504","WorldCat Record")</f>
        <v>WorldCat Record</v>
      </c>
      <c r="AU171" s="3" t="s">
        <v>2285</v>
      </c>
      <c r="AV171" s="3" t="s">
        <v>2286</v>
      </c>
      <c r="AW171" s="3" t="s">
        <v>2287</v>
      </c>
      <c r="AX171" s="3" t="s">
        <v>2287</v>
      </c>
      <c r="AY171" s="3" t="s">
        <v>2288</v>
      </c>
      <c r="AZ171" s="3" t="s">
        <v>73</v>
      </c>
      <c r="BB171" s="3" t="s">
        <v>2289</v>
      </c>
      <c r="BC171" s="3" t="s">
        <v>2299</v>
      </c>
      <c r="BD171" s="3" t="s">
        <v>2300</v>
      </c>
    </row>
    <row r="172" spans="1:56" ht="45" customHeight="1" x14ac:dyDescent="0.25">
      <c r="A172" s="8" t="s">
        <v>58</v>
      </c>
      <c r="B172" s="2" t="s">
        <v>2301</v>
      </c>
      <c r="C172" s="2" t="s">
        <v>2302</v>
      </c>
      <c r="D172" s="2" t="s">
        <v>2303</v>
      </c>
      <c r="F172" s="3" t="s">
        <v>58</v>
      </c>
      <c r="G172" s="3" t="s">
        <v>59</v>
      </c>
      <c r="H172" s="3" t="s">
        <v>58</v>
      </c>
      <c r="I172" s="3" t="s">
        <v>58</v>
      </c>
      <c r="J172" s="3" t="s">
        <v>60</v>
      </c>
      <c r="L172" s="2" t="s">
        <v>2304</v>
      </c>
      <c r="M172" s="3" t="s">
        <v>1013</v>
      </c>
      <c r="N172" s="2" t="s">
        <v>63</v>
      </c>
      <c r="O172" s="3" t="s">
        <v>64</v>
      </c>
      <c r="P172" s="3" t="s">
        <v>177</v>
      </c>
      <c r="R172" s="3" t="s">
        <v>66</v>
      </c>
      <c r="S172" s="4">
        <v>14</v>
      </c>
      <c r="T172" s="4">
        <v>14</v>
      </c>
      <c r="U172" s="5" t="s">
        <v>2305</v>
      </c>
      <c r="V172" s="5" t="s">
        <v>2305</v>
      </c>
      <c r="W172" s="5" t="s">
        <v>2306</v>
      </c>
      <c r="X172" s="5" t="s">
        <v>2306</v>
      </c>
      <c r="Y172" s="4">
        <v>260</v>
      </c>
      <c r="Z172" s="4">
        <v>212</v>
      </c>
      <c r="AA172" s="4">
        <v>215</v>
      </c>
      <c r="AB172" s="4">
        <v>2</v>
      </c>
      <c r="AC172" s="4">
        <v>2</v>
      </c>
      <c r="AD172" s="4">
        <v>5</v>
      </c>
      <c r="AE172" s="4">
        <v>5</v>
      </c>
      <c r="AF172" s="4">
        <v>1</v>
      </c>
      <c r="AG172" s="4">
        <v>1</v>
      </c>
      <c r="AH172" s="4">
        <v>1</v>
      </c>
      <c r="AI172" s="4">
        <v>1</v>
      </c>
      <c r="AJ172" s="4">
        <v>2</v>
      </c>
      <c r="AK172" s="4">
        <v>2</v>
      </c>
      <c r="AL172" s="4">
        <v>1</v>
      </c>
      <c r="AM172" s="4">
        <v>1</v>
      </c>
      <c r="AN172" s="4">
        <v>0</v>
      </c>
      <c r="AO172" s="4">
        <v>0</v>
      </c>
      <c r="AP172" s="3" t="s">
        <v>58</v>
      </c>
      <c r="AQ172" s="3" t="s">
        <v>68</v>
      </c>
      <c r="AR172" s="6" t="str">
        <f>HYPERLINK("http://catalog.hathitrust.org/Record/000811560","HathiTrust Record")</f>
        <v>HathiTrust Record</v>
      </c>
      <c r="AS172" s="6" t="str">
        <f>HYPERLINK("https://creighton-primo.hosted.exlibrisgroup.com/primo-explore/search?tab=default_tab&amp;search_scope=EVERYTHING&amp;vid=01CRU&amp;lang=en_US&amp;offset=0&amp;query=any,contains,991000785359702656","Catalog Record")</f>
        <v>Catalog Record</v>
      </c>
      <c r="AT172" s="6" t="str">
        <f>HYPERLINK("http://www.worldcat.org/oclc/13123840","WorldCat Record")</f>
        <v>WorldCat Record</v>
      </c>
      <c r="AU172" s="3" t="s">
        <v>2307</v>
      </c>
      <c r="AV172" s="3" t="s">
        <v>2308</v>
      </c>
      <c r="AW172" s="3" t="s">
        <v>2309</v>
      </c>
      <c r="AX172" s="3" t="s">
        <v>2309</v>
      </c>
      <c r="AY172" s="3" t="s">
        <v>2310</v>
      </c>
      <c r="AZ172" s="3" t="s">
        <v>73</v>
      </c>
      <c r="BB172" s="3" t="s">
        <v>2311</v>
      </c>
      <c r="BC172" s="3" t="s">
        <v>2312</v>
      </c>
      <c r="BD172" s="3" t="s">
        <v>2313</v>
      </c>
    </row>
    <row r="173" spans="1:56" ht="45" customHeight="1" x14ac:dyDescent="0.25">
      <c r="A173" s="8" t="s">
        <v>58</v>
      </c>
      <c r="B173" s="2" t="s">
        <v>2314</v>
      </c>
      <c r="C173" s="2" t="s">
        <v>2315</v>
      </c>
      <c r="D173" s="2" t="s">
        <v>2316</v>
      </c>
      <c r="F173" s="3" t="s">
        <v>58</v>
      </c>
      <c r="G173" s="3" t="s">
        <v>59</v>
      </c>
      <c r="H173" s="3" t="s">
        <v>58</v>
      </c>
      <c r="I173" s="3" t="s">
        <v>58</v>
      </c>
      <c r="J173" s="3" t="s">
        <v>60</v>
      </c>
      <c r="K173" s="2" t="s">
        <v>2317</v>
      </c>
      <c r="L173" s="2" t="s">
        <v>2318</v>
      </c>
      <c r="M173" s="3" t="s">
        <v>480</v>
      </c>
      <c r="N173" s="2" t="s">
        <v>567</v>
      </c>
      <c r="O173" s="3" t="s">
        <v>64</v>
      </c>
      <c r="P173" s="3" t="s">
        <v>99</v>
      </c>
      <c r="R173" s="3" t="s">
        <v>66</v>
      </c>
      <c r="S173" s="4">
        <v>2</v>
      </c>
      <c r="T173" s="4">
        <v>2</v>
      </c>
      <c r="U173" s="5" t="s">
        <v>2319</v>
      </c>
      <c r="V173" s="5" t="s">
        <v>2319</v>
      </c>
      <c r="W173" s="5" t="s">
        <v>1926</v>
      </c>
      <c r="X173" s="5" t="s">
        <v>1926</v>
      </c>
      <c r="Y173" s="4">
        <v>222</v>
      </c>
      <c r="Z173" s="4">
        <v>199</v>
      </c>
      <c r="AA173" s="4">
        <v>521</v>
      </c>
      <c r="AB173" s="4">
        <v>3</v>
      </c>
      <c r="AC173" s="4">
        <v>6</v>
      </c>
      <c r="AD173" s="4">
        <v>5</v>
      </c>
      <c r="AE173" s="4">
        <v>19</v>
      </c>
      <c r="AF173" s="4">
        <v>2</v>
      </c>
      <c r="AG173" s="4">
        <v>9</v>
      </c>
      <c r="AH173" s="4">
        <v>0</v>
      </c>
      <c r="AI173" s="4">
        <v>3</v>
      </c>
      <c r="AJ173" s="4">
        <v>1</v>
      </c>
      <c r="AK173" s="4">
        <v>8</v>
      </c>
      <c r="AL173" s="4">
        <v>2</v>
      </c>
      <c r="AM173" s="4">
        <v>4</v>
      </c>
      <c r="AN173" s="4">
        <v>0</v>
      </c>
      <c r="AO173" s="4">
        <v>0</v>
      </c>
      <c r="AP173" s="3" t="s">
        <v>58</v>
      </c>
      <c r="AQ173" s="3" t="s">
        <v>68</v>
      </c>
      <c r="AR173" s="6" t="str">
        <f>HYPERLINK("http://catalog.hathitrust.org/Record/000274925","HathiTrust Record")</f>
        <v>HathiTrust Record</v>
      </c>
      <c r="AS173" s="6" t="str">
        <f>HYPERLINK("https://creighton-primo.hosted.exlibrisgroup.com/primo-explore/search?tab=default_tab&amp;search_scope=EVERYTHING&amp;vid=01CRU&amp;lang=en_US&amp;offset=0&amp;query=any,contains,991005115459702656","Catalog Record")</f>
        <v>Catalog Record</v>
      </c>
      <c r="AT173" s="6" t="str">
        <f>HYPERLINK("http://www.worldcat.org/oclc/7462066","WorldCat Record")</f>
        <v>WorldCat Record</v>
      </c>
      <c r="AU173" s="3" t="s">
        <v>2320</v>
      </c>
      <c r="AV173" s="3" t="s">
        <v>2321</v>
      </c>
      <c r="AW173" s="3" t="s">
        <v>2322</v>
      </c>
      <c r="AX173" s="3" t="s">
        <v>2322</v>
      </c>
      <c r="AY173" s="3" t="s">
        <v>2323</v>
      </c>
      <c r="AZ173" s="3" t="s">
        <v>73</v>
      </c>
      <c r="BB173" s="3" t="s">
        <v>2324</v>
      </c>
      <c r="BC173" s="3" t="s">
        <v>2325</v>
      </c>
      <c r="BD173" s="3" t="s">
        <v>2326</v>
      </c>
    </row>
    <row r="174" spans="1:56" ht="45" customHeight="1" x14ac:dyDescent="0.25">
      <c r="A174" s="8" t="s">
        <v>58</v>
      </c>
      <c r="B174" s="2" t="s">
        <v>2327</v>
      </c>
      <c r="C174" s="2" t="s">
        <v>2328</v>
      </c>
      <c r="D174" s="2" t="s">
        <v>2329</v>
      </c>
      <c r="F174" s="3" t="s">
        <v>58</v>
      </c>
      <c r="G174" s="3" t="s">
        <v>59</v>
      </c>
      <c r="H174" s="3" t="s">
        <v>58</v>
      </c>
      <c r="I174" s="3" t="s">
        <v>58</v>
      </c>
      <c r="J174" s="3" t="s">
        <v>60</v>
      </c>
      <c r="K174" s="2" t="s">
        <v>2330</v>
      </c>
      <c r="L174" s="2" t="s">
        <v>2331</v>
      </c>
      <c r="M174" s="3" t="s">
        <v>365</v>
      </c>
      <c r="O174" s="3" t="s">
        <v>64</v>
      </c>
      <c r="P174" s="3" t="s">
        <v>177</v>
      </c>
      <c r="R174" s="3" t="s">
        <v>66</v>
      </c>
      <c r="S174" s="4">
        <v>1</v>
      </c>
      <c r="T174" s="4">
        <v>1</v>
      </c>
      <c r="U174" s="5" t="s">
        <v>2332</v>
      </c>
      <c r="V174" s="5" t="s">
        <v>2332</v>
      </c>
      <c r="W174" s="5" t="s">
        <v>236</v>
      </c>
      <c r="X174" s="5" t="s">
        <v>236</v>
      </c>
      <c r="Y174" s="4">
        <v>445</v>
      </c>
      <c r="Z174" s="4">
        <v>380</v>
      </c>
      <c r="AA174" s="4">
        <v>383</v>
      </c>
      <c r="AB174" s="4">
        <v>2</v>
      </c>
      <c r="AC174" s="4">
        <v>2</v>
      </c>
      <c r="AD174" s="4">
        <v>12</v>
      </c>
      <c r="AE174" s="4">
        <v>12</v>
      </c>
      <c r="AF174" s="4">
        <v>2</v>
      </c>
      <c r="AG174" s="4">
        <v>2</v>
      </c>
      <c r="AH174" s="4">
        <v>3</v>
      </c>
      <c r="AI174" s="4">
        <v>3</v>
      </c>
      <c r="AJ174" s="4">
        <v>9</v>
      </c>
      <c r="AK174" s="4">
        <v>9</v>
      </c>
      <c r="AL174" s="4">
        <v>1</v>
      </c>
      <c r="AM174" s="4">
        <v>1</v>
      </c>
      <c r="AN174" s="4">
        <v>0</v>
      </c>
      <c r="AO174" s="4">
        <v>0</v>
      </c>
      <c r="AP174" s="3" t="s">
        <v>58</v>
      </c>
      <c r="AQ174" s="3" t="s">
        <v>68</v>
      </c>
      <c r="AR174" s="6" t="str">
        <f>HYPERLINK("http://catalog.hathitrust.org/Record/001570794","HathiTrust Record")</f>
        <v>HathiTrust Record</v>
      </c>
      <c r="AS174" s="6" t="str">
        <f>HYPERLINK("https://creighton-primo.hosted.exlibrisgroup.com/primo-explore/search?tab=default_tab&amp;search_scope=EVERYTHING&amp;vid=01CRU&amp;lang=en_US&amp;offset=0&amp;query=any,contains,991000663569702656","Catalog Record")</f>
        <v>Catalog Record</v>
      </c>
      <c r="AT174" s="6" t="str">
        <f>HYPERLINK("http://www.worldcat.org/oclc/117898","WorldCat Record")</f>
        <v>WorldCat Record</v>
      </c>
      <c r="AU174" s="3" t="s">
        <v>2333</v>
      </c>
      <c r="AV174" s="3" t="s">
        <v>2334</v>
      </c>
      <c r="AW174" s="3" t="s">
        <v>2335</v>
      </c>
      <c r="AX174" s="3" t="s">
        <v>2335</v>
      </c>
      <c r="AY174" s="3" t="s">
        <v>2336</v>
      </c>
      <c r="AZ174" s="3" t="s">
        <v>73</v>
      </c>
      <c r="BC174" s="3" t="s">
        <v>2337</v>
      </c>
      <c r="BD174" s="3" t="s">
        <v>2338</v>
      </c>
    </row>
    <row r="175" spans="1:56" ht="45" customHeight="1" x14ac:dyDescent="0.25">
      <c r="A175" s="8" t="s">
        <v>58</v>
      </c>
      <c r="B175" s="2" t="s">
        <v>2339</v>
      </c>
      <c r="C175" s="2" t="s">
        <v>2340</v>
      </c>
      <c r="D175" s="2" t="s">
        <v>2341</v>
      </c>
      <c r="F175" s="3" t="s">
        <v>58</v>
      </c>
      <c r="G175" s="3" t="s">
        <v>59</v>
      </c>
      <c r="H175" s="3" t="s">
        <v>68</v>
      </c>
      <c r="I175" s="3" t="s">
        <v>58</v>
      </c>
      <c r="J175" s="3" t="s">
        <v>60</v>
      </c>
      <c r="K175" s="2" t="s">
        <v>2342</v>
      </c>
      <c r="L175" s="2" t="s">
        <v>2343</v>
      </c>
      <c r="M175" s="3" t="s">
        <v>2344</v>
      </c>
      <c r="N175" s="2" t="s">
        <v>791</v>
      </c>
      <c r="O175" s="3" t="s">
        <v>64</v>
      </c>
      <c r="P175" s="3" t="s">
        <v>177</v>
      </c>
      <c r="R175" s="3" t="s">
        <v>66</v>
      </c>
      <c r="S175" s="4">
        <v>3</v>
      </c>
      <c r="T175" s="4">
        <v>4</v>
      </c>
      <c r="U175" s="5" t="s">
        <v>2345</v>
      </c>
      <c r="V175" s="5" t="s">
        <v>2345</v>
      </c>
      <c r="W175" s="5" t="s">
        <v>2346</v>
      </c>
      <c r="X175" s="5" t="s">
        <v>2346</v>
      </c>
      <c r="Y175" s="4">
        <v>567</v>
      </c>
      <c r="Z175" s="4">
        <v>469</v>
      </c>
      <c r="AA175" s="4">
        <v>535</v>
      </c>
      <c r="AB175" s="4">
        <v>5</v>
      </c>
      <c r="AC175" s="4">
        <v>5</v>
      </c>
      <c r="AD175" s="4">
        <v>20</v>
      </c>
      <c r="AE175" s="4">
        <v>20</v>
      </c>
      <c r="AF175" s="4">
        <v>6</v>
      </c>
      <c r="AG175" s="4">
        <v>6</v>
      </c>
      <c r="AH175" s="4">
        <v>5</v>
      </c>
      <c r="AI175" s="4">
        <v>5</v>
      </c>
      <c r="AJ175" s="4">
        <v>11</v>
      </c>
      <c r="AK175" s="4">
        <v>11</v>
      </c>
      <c r="AL175" s="4">
        <v>3</v>
      </c>
      <c r="AM175" s="4">
        <v>3</v>
      </c>
      <c r="AN175" s="4">
        <v>0</v>
      </c>
      <c r="AO175" s="4">
        <v>0</v>
      </c>
      <c r="AP175" s="3" t="s">
        <v>58</v>
      </c>
      <c r="AQ175" s="3" t="s">
        <v>58</v>
      </c>
      <c r="AR175" s="6" t="str">
        <f>HYPERLINK("http://catalog.hathitrust.org/Record/001570797","HathiTrust Record")</f>
        <v>HathiTrust Record</v>
      </c>
      <c r="AS175" s="6" t="str">
        <f>HYPERLINK("https://creighton-primo.hosted.exlibrisgroup.com/primo-explore/search?tab=default_tab&amp;search_scope=EVERYTHING&amp;vid=01CRU&amp;lang=en_US&amp;offset=0&amp;query=any,contains,991001772479702656","Catalog Record")</f>
        <v>Catalog Record</v>
      </c>
      <c r="AT175" s="6" t="str">
        <f>HYPERLINK("http://www.worldcat.org/oclc/638204","WorldCat Record")</f>
        <v>WorldCat Record</v>
      </c>
      <c r="AU175" s="3" t="s">
        <v>2347</v>
      </c>
      <c r="AV175" s="3" t="s">
        <v>2348</v>
      </c>
      <c r="AW175" s="3" t="s">
        <v>2349</v>
      </c>
      <c r="AX175" s="3" t="s">
        <v>2349</v>
      </c>
      <c r="AY175" s="3" t="s">
        <v>2350</v>
      </c>
      <c r="AZ175" s="3" t="s">
        <v>73</v>
      </c>
      <c r="BC175" s="3" t="s">
        <v>2351</v>
      </c>
      <c r="BD175" s="3" t="s">
        <v>2352</v>
      </c>
    </row>
    <row r="176" spans="1:56" ht="45" customHeight="1" x14ac:dyDescent="0.25">
      <c r="A176" s="8" t="s">
        <v>58</v>
      </c>
      <c r="B176" s="2" t="s">
        <v>2353</v>
      </c>
      <c r="C176" s="2" t="s">
        <v>2354</v>
      </c>
      <c r="D176" s="2" t="s">
        <v>2355</v>
      </c>
      <c r="F176" s="3" t="s">
        <v>58</v>
      </c>
      <c r="G176" s="3" t="s">
        <v>59</v>
      </c>
      <c r="H176" s="3" t="s">
        <v>58</v>
      </c>
      <c r="I176" s="3" t="s">
        <v>58</v>
      </c>
      <c r="J176" s="3" t="s">
        <v>60</v>
      </c>
      <c r="K176" s="2" t="s">
        <v>2356</v>
      </c>
      <c r="L176" s="2" t="s">
        <v>2357</v>
      </c>
      <c r="M176" s="3" t="s">
        <v>82</v>
      </c>
      <c r="O176" s="3" t="s">
        <v>64</v>
      </c>
      <c r="P176" s="3" t="s">
        <v>177</v>
      </c>
      <c r="Q176" s="2" t="s">
        <v>264</v>
      </c>
      <c r="R176" s="3" t="s">
        <v>66</v>
      </c>
      <c r="S176" s="4">
        <v>3</v>
      </c>
      <c r="T176" s="4">
        <v>3</v>
      </c>
      <c r="U176" s="5" t="s">
        <v>2358</v>
      </c>
      <c r="V176" s="5" t="s">
        <v>2358</v>
      </c>
      <c r="W176" s="5" t="s">
        <v>1926</v>
      </c>
      <c r="X176" s="5" t="s">
        <v>1926</v>
      </c>
      <c r="Y176" s="4">
        <v>489</v>
      </c>
      <c r="Z176" s="4">
        <v>403</v>
      </c>
      <c r="AA176" s="4">
        <v>404</v>
      </c>
      <c r="AB176" s="4">
        <v>4</v>
      </c>
      <c r="AC176" s="4">
        <v>4</v>
      </c>
      <c r="AD176" s="4">
        <v>17</v>
      </c>
      <c r="AE176" s="4">
        <v>17</v>
      </c>
      <c r="AF176" s="4">
        <v>3</v>
      </c>
      <c r="AG176" s="4">
        <v>3</v>
      </c>
      <c r="AH176" s="4">
        <v>4</v>
      </c>
      <c r="AI176" s="4">
        <v>4</v>
      </c>
      <c r="AJ176" s="4">
        <v>12</v>
      </c>
      <c r="AK176" s="4">
        <v>12</v>
      </c>
      <c r="AL176" s="4">
        <v>2</v>
      </c>
      <c r="AM176" s="4">
        <v>2</v>
      </c>
      <c r="AN176" s="4">
        <v>0</v>
      </c>
      <c r="AO176" s="4">
        <v>0</v>
      </c>
      <c r="AP176" s="3" t="s">
        <v>58</v>
      </c>
      <c r="AQ176" s="3" t="s">
        <v>68</v>
      </c>
      <c r="AR176" s="6" t="str">
        <f>HYPERLINK("http://catalog.hathitrust.org/Record/006257871","HathiTrust Record")</f>
        <v>HathiTrust Record</v>
      </c>
      <c r="AS176" s="6" t="str">
        <f>HYPERLINK("https://creighton-primo.hosted.exlibrisgroup.com/primo-explore/search?tab=default_tab&amp;search_scope=EVERYTHING&amp;vid=01CRU&amp;lang=en_US&amp;offset=0&amp;query=any,contains,991004645479702656","Catalog Record")</f>
        <v>Catalog Record</v>
      </c>
      <c r="AT176" s="6" t="str">
        <f>HYPERLINK("http://www.worldcat.org/oclc/4491538","WorldCat Record")</f>
        <v>WorldCat Record</v>
      </c>
      <c r="AU176" s="3" t="s">
        <v>2359</v>
      </c>
      <c r="AV176" s="3" t="s">
        <v>2360</v>
      </c>
      <c r="AW176" s="3" t="s">
        <v>2361</v>
      </c>
      <c r="AX176" s="3" t="s">
        <v>2361</v>
      </c>
      <c r="AY176" s="3" t="s">
        <v>2362</v>
      </c>
      <c r="AZ176" s="3" t="s">
        <v>73</v>
      </c>
      <c r="BB176" s="3" t="s">
        <v>2363</v>
      </c>
      <c r="BC176" s="3" t="s">
        <v>2364</v>
      </c>
      <c r="BD176" s="3" t="s">
        <v>2365</v>
      </c>
    </row>
    <row r="177" spans="1:56" ht="45" customHeight="1" x14ac:dyDescent="0.25">
      <c r="A177" s="8" t="s">
        <v>58</v>
      </c>
      <c r="B177" s="2" t="s">
        <v>2366</v>
      </c>
      <c r="C177" s="2" t="s">
        <v>2367</v>
      </c>
      <c r="D177" s="2" t="s">
        <v>2368</v>
      </c>
      <c r="F177" s="3" t="s">
        <v>58</v>
      </c>
      <c r="G177" s="3" t="s">
        <v>59</v>
      </c>
      <c r="H177" s="3" t="s">
        <v>58</v>
      </c>
      <c r="I177" s="3" t="s">
        <v>58</v>
      </c>
      <c r="J177" s="3" t="s">
        <v>60</v>
      </c>
      <c r="K177" s="2" t="s">
        <v>2369</v>
      </c>
      <c r="L177" s="2" t="s">
        <v>2370</v>
      </c>
      <c r="M177" s="3" t="s">
        <v>480</v>
      </c>
      <c r="O177" s="3" t="s">
        <v>64</v>
      </c>
      <c r="P177" s="3" t="s">
        <v>99</v>
      </c>
      <c r="R177" s="3" t="s">
        <v>66</v>
      </c>
      <c r="S177" s="4">
        <v>15</v>
      </c>
      <c r="T177" s="4">
        <v>15</v>
      </c>
      <c r="U177" s="5" t="s">
        <v>2371</v>
      </c>
      <c r="V177" s="5" t="s">
        <v>2371</v>
      </c>
      <c r="W177" s="5" t="s">
        <v>1926</v>
      </c>
      <c r="X177" s="5" t="s">
        <v>1926</v>
      </c>
      <c r="Y177" s="4">
        <v>215</v>
      </c>
      <c r="Z177" s="4">
        <v>184</v>
      </c>
      <c r="AA177" s="4">
        <v>305</v>
      </c>
      <c r="AB177" s="4">
        <v>2</v>
      </c>
      <c r="AC177" s="4">
        <v>2</v>
      </c>
      <c r="AD177" s="4">
        <v>5</v>
      </c>
      <c r="AE177" s="4">
        <v>8</v>
      </c>
      <c r="AF177" s="4">
        <v>1</v>
      </c>
      <c r="AG177" s="4">
        <v>2</v>
      </c>
      <c r="AH177" s="4">
        <v>2</v>
      </c>
      <c r="AI177" s="4">
        <v>2</v>
      </c>
      <c r="AJ177" s="4">
        <v>2</v>
      </c>
      <c r="AK177" s="4">
        <v>5</v>
      </c>
      <c r="AL177" s="4">
        <v>1</v>
      </c>
      <c r="AM177" s="4">
        <v>1</v>
      </c>
      <c r="AN177" s="4">
        <v>0</v>
      </c>
      <c r="AO177" s="4">
        <v>0</v>
      </c>
      <c r="AP177" s="3" t="s">
        <v>58</v>
      </c>
      <c r="AQ177" s="3" t="s">
        <v>68</v>
      </c>
      <c r="AR177" s="6" t="str">
        <f>HYPERLINK("http://catalog.hathitrust.org/Record/000762815","HathiTrust Record")</f>
        <v>HathiTrust Record</v>
      </c>
      <c r="AS177" s="6" t="str">
        <f>HYPERLINK("https://creighton-primo.hosted.exlibrisgroup.com/primo-explore/search?tab=default_tab&amp;search_scope=EVERYTHING&amp;vid=01CRU&amp;lang=en_US&amp;offset=0&amp;query=any,contains,991005166689702656","Catalog Record")</f>
        <v>Catalog Record</v>
      </c>
      <c r="AT177" s="6" t="str">
        <f>HYPERLINK("http://www.worldcat.org/oclc/7836134","WorldCat Record")</f>
        <v>WorldCat Record</v>
      </c>
      <c r="AU177" s="3" t="s">
        <v>2372</v>
      </c>
      <c r="AV177" s="3" t="s">
        <v>2373</v>
      </c>
      <c r="AW177" s="3" t="s">
        <v>2374</v>
      </c>
      <c r="AX177" s="3" t="s">
        <v>2374</v>
      </c>
      <c r="AY177" s="3" t="s">
        <v>2375</v>
      </c>
      <c r="AZ177" s="3" t="s">
        <v>73</v>
      </c>
      <c r="BB177" s="3" t="s">
        <v>2376</v>
      </c>
      <c r="BC177" s="3" t="s">
        <v>2377</v>
      </c>
      <c r="BD177" s="3" t="s">
        <v>2378</v>
      </c>
    </row>
    <row r="178" spans="1:56" ht="45" customHeight="1" x14ac:dyDescent="0.25">
      <c r="A178" s="8" t="s">
        <v>58</v>
      </c>
      <c r="B178" s="2" t="s">
        <v>2379</v>
      </c>
      <c r="C178" s="2" t="s">
        <v>2380</v>
      </c>
      <c r="D178" s="2" t="s">
        <v>2381</v>
      </c>
      <c r="F178" s="3" t="s">
        <v>58</v>
      </c>
      <c r="G178" s="3" t="s">
        <v>59</v>
      </c>
      <c r="H178" s="3" t="s">
        <v>58</v>
      </c>
      <c r="I178" s="3" t="s">
        <v>58</v>
      </c>
      <c r="J178" s="3" t="s">
        <v>60</v>
      </c>
      <c r="K178" s="2" t="s">
        <v>2382</v>
      </c>
      <c r="L178" s="2" t="s">
        <v>2383</v>
      </c>
      <c r="M178" s="3" t="s">
        <v>2134</v>
      </c>
      <c r="O178" s="3" t="s">
        <v>64</v>
      </c>
      <c r="P178" s="3" t="s">
        <v>846</v>
      </c>
      <c r="R178" s="3" t="s">
        <v>66</v>
      </c>
      <c r="S178" s="4">
        <v>3</v>
      </c>
      <c r="T178" s="4">
        <v>3</v>
      </c>
      <c r="U178" s="5" t="s">
        <v>2345</v>
      </c>
      <c r="V178" s="5" t="s">
        <v>2345</v>
      </c>
      <c r="W178" s="5" t="s">
        <v>2384</v>
      </c>
      <c r="X178" s="5" t="s">
        <v>2384</v>
      </c>
      <c r="Y178" s="4">
        <v>292</v>
      </c>
      <c r="Z178" s="4">
        <v>234</v>
      </c>
      <c r="AA178" s="4">
        <v>376</v>
      </c>
      <c r="AB178" s="4">
        <v>3</v>
      </c>
      <c r="AC178" s="4">
        <v>5</v>
      </c>
      <c r="AD178" s="4">
        <v>12</v>
      </c>
      <c r="AE178" s="4">
        <v>15</v>
      </c>
      <c r="AF178" s="4">
        <v>3</v>
      </c>
      <c r="AG178" s="4">
        <v>5</v>
      </c>
      <c r="AH178" s="4">
        <v>2</v>
      </c>
      <c r="AI178" s="4">
        <v>2</v>
      </c>
      <c r="AJ178" s="4">
        <v>8</v>
      </c>
      <c r="AK178" s="4">
        <v>8</v>
      </c>
      <c r="AL178" s="4">
        <v>2</v>
      </c>
      <c r="AM178" s="4">
        <v>3</v>
      </c>
      <c r="AN178" s="4">
        <v>0</v>
      </c>
      <c r="AO178" s="4">
        <v>0</v>
      </c>
      <c r="AP178" s="3" t="s">
        <v>58</v>
      </c>
      <c r="AQ178" s="3" t="s">
        <v>68</v>
      </c>
      <c r="AR178" s="6" t="str">
        <f>HYPERLINK("http://catalog.hathitrust.org/Record/001570799","HathiTrust Record")</f>
        <v>HathiTrust Record</v>
      </c>
      <c r="AS178" s="6" t="str">
        <f>HYPERLINK("https://creighton-primo.hosted.exlibrisgroup.com/primo-explore/search?tab=default_tab&amp;search_scope=EVERYTHING&amp;vid=01CRU&amp;lang=en_US&amp;offset=0&amp;query=any,contains,991003230879702656","Catalog Record")</f>
        <v>Catalog Record</v>
      </c>
      <c r="AT178" s="6" t="str">
        <f>HYPERLINK("http://www.worldcat.org/oclc/755758","WorldCat Record")</f>
        <v>WorldCat Record</v>
      </c>
      <c r="AU178" s="3" t="s">
        <v>2385</v>
      </c>
      <c r="AV178" s="3" t="s">
        <v>2386</v>
      </c>
      <c r="AW178" s="3" t="s">
        <v>2387</v>
      </c>
      <c r="AX178" s="3" t="s">
        <v>2387</v>
      </c>
      <c r="AY178" s="3" t="s">
        <v>2388</v>
      </c>
      <c r="AZ178" s="3" t="s">
        <v>73</v>
      </c>
      <c r="BC178" s="3" t="s">
        <v>2389</v>
      </c>
      <c r="BD178" s="3" t="s">
        <v>2390</v>
      </c>
    </row>
    <row r="179" spans="1:56" ht="45" customHeight="1" x14ac:dyDescent="0.25">
      <c r="A179" s="8" t="s">
        <v>58</v>
      </c>
      <c r="B179" s="2" t="s">
        <v>2391</v>
      </c>
      <c r="C179" s="2" t="s">
        <v>2392</v>
      </c>
      <c r="D179" s="2" t="s">
        <v>2393</v>
      </c>
      <c r="F179" s="3" t="s">
        <v>58</v>
      </c>
      <c r="G179" s="3" t="s">
        <v>59</v>
      </c>
      <c r="H179" s="3" t="s">
        <v>68</v>
      </c>
      <c r="I179" s="3" t="s">
        <v>58</v>
      </c>
      <c r="J179" s="3" t="s">
        <v>60</v>
      </c>
      <c r="K179" s="2" t="s">
        <v>2394</v>
      </c>
      <c r="L179" s="2" t="s">
        <v>2395</v>
      </c>
      <c r="M179" s="3" t="s">
        <v>378</v>
      </c>
      <c r="O179" s="3" t="s">
        <v>64</v>
      </c>
      <c r="P179" s="3" t="s">
        <v>177</v>
      </c>
      <c r="R179" s="3" t="s">
        <v>66</v>
      </c>
      <c r="S179" s="4">
        <v>5</v>
      </c>
      <c r="T179" s="4">
        <v>5</v>
      </c>
      <c r="U179" s="5" t="s">
        <v>335</v>
      </c>
      <c r="V179" s="5" t="s">
        <v>335</v>
      </c>
      <c r="W179" s="5" t="s">
        <v>1926</v>
      </c>
      <c r="X179" s="5" t="s">
        <v>1926</v>
      </c>
      <c r="Y179" s="4">
        <v>506</v>
      </c>
      <c r="Z179" s="4">
        <v>425</v>
      </c>
      <c r="AA179" s="4">
        <v>496</v>
      </c>
      <c r="AB179" s="4">
        <v>4</v>
      </c>
      <c r="AC179" s="4">
        <v>5</v>
      </c>
      <c r="AD179" s="4">
        <v>16</v>
      </c>
      <c r="AE179" s="4">
        <v>20</v>
      </c>
      <c r="AF179" s="4">
        <v>6</v>
      </c>
      <c r="AG179" s="4">
        <v>7</v>
      </c>
      <c r="AH179" s="4">
        <v>2</v>
      </c>
      <c r="AI179" s="4">
        <v>2</v>
      </c>
      <c r="AJ179" s="4">
        <v>10</v>
      </c>
      <c r="AK179" s="4">
        <v>12</v>
      </c>
      <c r="AL179" s="4">
        <v>2</v>
      </c>
      <c r="AM179" s="4">
        <v>3</v>
      </c>
      <c r="AN179" s="4">
        <v>0</v>
      </c>
      <c r="AO179" s="4">
        <v>1</v>
      </c>
      <c r="AP179" s="3" t="s">
        <v>58</v>
      </c>
      <c r="AQ179" s="3" t="s">
        <v>68</v>
      </c>
      <c r="AR179" s="6" t="str">
        <f>HYPERLINK("http://catalog.hathitrust.org/Record/000332416","HathiTrust Record")</f>
        <v>HathiTrust Record</v>
      </c>
      <c r="AS179" s="6" t="str">
        <f>HYPERLINK("https://creighton-primo.hosted.exlibrisgroup.com/primo-explore/search?tab=default_tab&amp;search_scope=EVERYTHING&amp;vid=01CRU&amp;lang=en_US&amp;offset=0&amp;query=any,contains,991000457509702656","Catalog Record")</f>
        <v>Catalog Record</v>
      </c>
      <c r="AT179" s="6" t="str">
        <f>HYPERLINK("http://www.worldcat.org/oclc/10914913","WorldCat Record")</f>
        <v>WorldCat Record</v>
      </c>
      <c r="AU179" s="3" t="s">
        <v>2396</v>
      </c>
      <c r="AV179" s="3" t="s">
        <v>2397</v>
      </c>
      <c r="AW179" s="3" t="s">
        <v>2398</v>
      </c>
      <c r="AX179" s="3" t="s">
        <v>2398</v>
      </c>
      <c r="AY179" s="3" t="s">
        <v>2399</v>
      </c>
      <c r="AZ179" s="3" t="s">
        <v>73</v>
      </c>
      <c r="BB179" s="3" t="s">
        <v>2400</v>
      </c>
      <c r="BC179" s="3" t="s">
        <v>2401</v>
      </c>
      <c r="BD179" s="3" t="s">
        <v>2402</v>
      </c>
    </row>
    <row r="180" spans="1:56" ht="45" customHeight="1" x14ac:dyDescent="0.25">
      <c r="A180" s="8" t="s">
        <v>58</v>
      </c>
      <c r="B180" s="2" t="s">
        <v>2403</v>
      </c>
      <c r="C180" s="2" t="s">
        <v>2404</v>
      </c>
      <c r="D180" s="2" t="s">
        <v>2405</v>
      </c>
      <c r="F180" s="3" t="s">
        <v>58</v>
      </c>
      <c r="G180" s="3" t="s">
        <v>59</v>
      </c>
      <c r="H180" s="3" t="s">
        <v>58</v>
      </c>
      <c r="I180" s="3" t="s">
        <v>68</v>
      </c>
      <c r="J180" s="3" t="s">
        <v>60</v>
      </c>
      <c r="K180" s="2" t="s">
        <v>2394</v>
      </c>
      <c r="L180" s="2" t="s">
        <v>2406</v>
      </c>
      <c r="M180" s="3" t="s">
        <v>249</v>
      </c>
      <c r="O180" s="3" t="s">
        <v>64</v>
      </c>
      <c r="P180" s="3" t="s">
        <v>177</v>
      </c>
      <c r="R180" s="3" t="s">
        <v>66</v>
      </c>
      <c r="S180" s="4">
        <v>2</v>
      </c>
      <c r="T180" s="4">
        <v>2</v>
      </c>
      <c r="U180" s="5" t="s">
        <v>2407</v>
      </c>
      <c r="V180" s="5" t="s">
        <v>2407</v>
      </c>
      <c r="W180" s="5" t="s">
        <v>1926</v>
      </c>
      <c r="X180" s="5" t="s">
        <v>1926</v>
      </c>
      <c r="Y180" s="4">
        <v>299</v>
      </c>
      <c r="Z180" s="4">
        <v>220</v>
      </c>
      <c r="AA180" s="4">
        <v>322</v>
      </c>
      <c r="AB180" s="4">
        <v>2</v>
      </c>
      <c r="AC180" s="4">
        <v>3</v>
      </c>
      <c r="AD180" s="4">
        <v>7</v>
      </c>
      <c r="AE180" s="4">
        <v>10</v>
      </c>
      <c r="AF180" s="4">
        <v>2</v>
      </c>
      <c r="AG180" s="4">
        <v>2</v>
      </c>
      <c r="AH180" s="4">
        <v>2</v>
      </c>
      <c r="AI180" s="4">
        <v>2</v>
      </c>
      <c r="AJ180" s="4">
        <v>4</v>
      </c>
      <c r="AK180" s="4">
        <v>7</v>
      </c>
      <c r="AL180" s="4">
        <v>1</v>
      </c>
      <c r="AM180" s="4">
        <v>1</v>
      </c>
      <c r="AN180" s="4">
        <v>0</v>
      </c>
      <c r="AO180" s="4">
        <v>0</v>
      </c>
      <c r="AP180" s="3" t="s">
        <v>58</v>
      </c>
      <c r="AQ180" s="3" t="s">
        <v>58</v>
      </c>
      <c r="AS180" s="6" t="str">
        <f>HYPERLINK("https://creighton-primo.hosted.exlibrisgroup.com/primo-explore/search?tab=default_tab&amp;search_scope=EVERYTHING&amp;vid=01CRU&amp;lang=en_US&amp;offset=0&amp;query=any,contains,991005257649702656","Catalog Record")</f>
        <v>Catalog Record</v>
      </c>
      <c r="AT180" s="6" t="str">
        <f>HYPERLINK("http://www.worldcat.org/oclc/3649855","WorldCat Record")</f>
        <v>WorldCat Record</v>
      </c>
      <c r="AU180" s="3" t="s">
        <v>2408</v>
      </c>
      <c r="AV180" s="3" t="s">
        <v>2409</v>
      </c>
      <c r="AW180" s="3" t="s">
        <v>2410</v>
      </c>
      <c r="AX180" s="3" t="s">
        <v>2410</v>
      </c>
      <c r="AY180" s="3" t="s">
        <v>2411</v>
      </c>
      <c r="AZ180" s="3" t="s">
        <v>73</v>
      </c>
      <c r="BB180" s="3" t="s">
        <v>2412</v>
      </c>
      <c r="BC180" s="3" t="s">
        <v>2413</v>
      </c>
      <c r="BD180" s="3" t="s">
        <v>2414</v>
      </c>
    </row>
    <row r="181" spans="1:56" ht="45" customHeight="1" x14ac:dyDescent="0.25">
      <c r="A181" s="8" t="s">
        <v>58</v>
      </c>
      <c r="B181" s="2" t="s">
        <v>2415</v>
      </c>
      <c r="C181" s="2" t="s">
        <v>2416</v>
      </c>
      <c r="D181" s="2" t="s">
        <v>2417</v>
      </c>
      <c r="F181" s="3" t="s">
        <v>58</v>
      </c>
      <c r="G181" s="3" t="s">
        <v>59</v>
      </c>
      <c r="H181" s="3" t="s">
        <v>58</v>
      </c>
      <c r="I181" s="3" t="s">
        <v>58</v>
      </c>
      <c r="J181" s="3" t="s">
        <v>60</v>
      </c>
      <c r="L181" s="2" t="s">
        <v>2418</v>
      </c>
      <c r="M181" s="3" t="s">
        <v>538</v>
      </c>
      <c r="O181" s="3" t="s">
        <v>64</v>
      </c>
      <c r="P181" s="3" t="s">
        <v>250</v>
      </c>
      <c r="R181" s="3" t="s">
        <v>66</v>
      </c>
      <c r="S181" s="4">
        <v>21</v>
      </c>
      <c r="T181" s="4">
        <v>21</v>
      </c>
      <c r="U181" s="5" t="s">
        <v>2419</v>
      </c>
      <c r="V181" s="5" t="s">
        <v>2419</v>
      </c>
      <c r="W181" s="5" t="s">
        <v>2029</v>
      </c>
      <c r="X181" s="5" t="s">
        <v>2029</v>
      </c>
      <c r="Y181" s="4">
        <v>221</v>
      </c>
      <c r="Z181" s="4">
        <v>179</v>
      </c>
      <c r="AA181" s="4">
        <v>208</v>
      </c>
      <c r="AB181" s="4">
        <v>2</v>
      </c>
      <c r="AC181" s="4">
        <v>2</v>
      </c>
      <c r="AD181" s="4">
        <v>10</v>
      </c>
      <c r="AE181" s="4">
        <v>10</v>
      </c>
      <c r="AF181" s="4">
        <v>2</v>
      </c>
      <c r="AG181" s="4">
        <v>2</v>
      </c>
      <c r="AH181" s="4">
        <v>2</v>
      </c>
      <c r="AI181" s="4">
        <v>2</v>
      </c>
      <c r="AJ181" s="4">
        <v>8</v>
      </c>
      <c r="AK181" s="4">
        <v>8</v>
      </c>
      <c r="AL181" s="4">
        <v>1</v>
      </c>
      <c r="AM181" s="4">
        <v>1</v>
      </c>
      <c r="AN181" s="4">
        <v>0</v>
      </c>
      <c r="AO181" s="4">
        <v>0</v>
      </c>
      <c r="AP181" s="3" t="s">
        <v>58</v>
      </c>
      <c r="AQ181" s="3" t="s">
        <v>68</v>
      </c>
      <c r="AR181" s="6" t="str">
        <f>HYPERLINK("http://catalog.hathitrust.org/Record/002233345","HathiTrust Record")</f>
        <v>HathiTrust Record</v>
      </c>
      <c r="AS181" s="6" t="str">
        <f>HYPERLINK("https://creighton-primo.hosted.exlibrisgroup.com/primo-explore/search?tab=default_tab&amp;search_scope=EVERYTHING&amp;vid=01CRU&amp;lang=en_US&amp;offset=0&amp;query=any,contains,991001664579702656","Catalog Record")</f>
        <v>Catalog Record</v>
      </c>
      <c r="AT181" s="6" t="str">
        <f>HYPERLINK("http://www.worldcat.org/oclc/21197818","WorldCat Record")</f>
        <v>WorldCat Record</v>
      </c>
      <c r="AU181" s="3" t="s">
        <v>2420</v>
      </c>
      <c r="AV181" s="3" t="s">
        <v>2421</v>
      </c>
      <c r="AW181" s="3" t="s">
        <v>2422</v>
      </c>
      <c r="AX181" s="3" t="s">
        <v>2422</v>
      </c>
      <c r="AY181" s="3" t="s">
        <v>2423</v>
      </c>
      <c r="AZ181" s="3" t="s">
        <v>73</v>
      </c>
      <c r="BB181" s="3" t="s">
        <v>2424</v>
      </c>
      <c r="BC181" s="3" t="s">
        <v>2425</v>
      </c>
      <c r="BD181" s="3" t="s">
        <v>2426</v>
      </c>
    </row>
    <row r="182" spans="1:56" ht="45" customHeight="1" x14ac:dyDescent="0.25">
      <c r="A182" s="8" t="s">
        <v>58</v>
      </c>
      <c r="B182" s="2" t="s">
        <v>2427</v>
      </c>
      <c r="C182" s="2" t="s">
        <v>2428</v>
      </c>
      <c r="D182" s="2" t="s">
        <v>2429</v>
      </c>
      <c r="F182" s="3" t="s">
        <v>58</v>
      </c>
      <c r="G182" s="3" t="s">
        <v>59</v>
      </c>
      <c r="H182" s="3" t="s">
        <v>58</v>
      </c>
      <c r="I182" s="3" t="s">
        <v>58</v>
      </c>
      <c r="J182" s="3" t="s">
        <v>60</v>
      </c>
      <c r="L182" s="2" t="s">
        <v>2430</v>
      </c>
      <c r="M182" s="3" t="s">
        <v>393</v>
      </c>
      <c r="O182" s="3" t="s">
        <v>64</v>
      </c>
      <c r="P182" s="3" t="s">
        <v>177</v>
      </c>
      <c r="R182" s="3" t="s">
        <v>66</v>
      </c>
      <c r="S182" s="4">
        <v>4</v>
      </c>
      <c r="T182" s="4">
        <v>4</v>
      </c>
      <c r="U182" s="5" t="s">
        <v>2407</v>
      </c>
      <c r="V182" s="5" t="s">
        <v>2407</v>
      </c>
      <c r="W182" s="5" t="s">
        <v>1926</v>
      </c>
      <c r="X182" s="5" t="s">
        <v>1926</v>
      </c>
      <c r="Y182" s="4">
        <v>374</v>
      </c>
      <c r="Z182" s="4">
        <v>290</v>
      </c>
      <c r="AA182" s="4">
        <v>292</v>
      </c>
      <c r="AB182" s="4">
        <v>2</v>
      </c>
      <c r="AC182" s="4">
        <v>2</v>
      </c>
      <c r="AD182" s="4">
        <v>7</v>
      </c>
      <c r="AE182" s="4">
        <v>7</v>
      </c>
      <c r="AF182" s="4">
        <v>1</v>
      </c>
      <c r="AG182" s="4">
        <v>1</v>
      </c>
      <c r="AH182" s="4">
        <v>1</v>
      </c>
      <c r="AI182" s="4">
        <v>1</v>
      </c>
      <c r="AJ182" s="4">
        <v>5</v>
      </c>
      <c r="AK182" s="4">
        <v>5</v>
      </c>
      <c r="AL182" s="4">
        <v>1</v>
      </c>
      <c r="AM182" s="4">
        <v>1</v>
      </c>
      <c r="AN182" s="4">
        <v>0</v>
      </c>
      <c r="AO182" s="4">
        <v>0</v>
      </c>
      <c r="AP182" s="3" t="s">
        <v>58</v>
      </c>
      <c r="AQ182" s="3" t="s">
        <v>68</v>
      </c>
      <c r="AR182" s="6" t="str">
        <f>HYPERLINK("http://catalog.hathitrust.org/Record/000143003","HathiTrust Record")</f>
        <v>HathiTrust Record</v>
      </c>
      <c r="AS182" s="6" t="str">
        <f>HYPERLINK("https://creighton-primo.hosted.exlibrisgroup.com/primo-explore/search?tab=default_tab&amp;search_scope=EVERYTHING&amp;vid=01CRU&amp;lang=en_US&amp;offset=0&amp;query=any,contains,991004857549702656","Catalog Record")</f>
        <v>Catalog Record</v>
      </c>
      <c r="AT182" s="6" t="str">
        <f>HYPERLINK("http://www.worldcat.org/oclc/5676418","WorldCat Record")</f>
        <v>WorldCat Record</v>
      </c>
      <c r="AU182" s="3" t="s">
        <v>2431</v>
      </c>
      <c r="AV182" s="3" t="s">
        <v>2432</v>
      </c>
      <c r="AW182" s="3" t="s">
        <v>2433</v>
      </c>
      <c r="AX182" s="3" t="s">
        <v>2433</v>
      </c>
      <c r="AY182" s="3" t="s">
        <v>2434</v>
      </c>
      <c r="AZ182" s="3" t="s">
        <v>73</v>
      </c>
      <c r="BB182" s="3" t="s">
        <v>2435</v>
      </c>
      <c r="BC182" s="3" t="s">
        <v>2436</v>
      </c>
      <c r="BD182" s="3" t="s">
        <v>2437</v>
      </c>
    </row>
    <row r="183" spans="1:56" ht="45" customHeight="1" x14ac:dyDescent="0.25">
      <c r="A183" s="8" t="s">
        <v>58</v>
      </c>
      <c r="B183" s="2" t="s">
        <v>2438</v>
      </c>
      <c r="C183" s="2" t="s">
        <v>2439</v>
      </c>
      <c r="D183" s="2" t="s">
        <v>2440</v>
      </c>
      <c r="F183" s="3" t="s">
        <v>58</v>
      </c>
      <c r="G183" s="3" t="s">
        <v>59</v>
      </c>
      <c r="H183" s="3" t="s">
        <v>58</v>
      </c>
      <c r="I183" s="3" t="s">
        <v>58</v>
      </c>
      <c r="J183" s="3" t="s">
        <v>60</v>
      </c>
      <c r="L183" s="2" t="s">
        <v>2441</v>
      </c>
      <c r="M183" s="3" t="s">
        <v>450</v>
      </c>
      <c r="O183" s="3" t="s">
        <v>64</v>
      </c>
      <c r="P183" s="3" t="s">
        <v>147</v>
      </c>
      <c r="Q183" s="2" t="s">
        <v>2442</v>
      </c>
      <c r="R183" s="3" t="s">
        <v>66</v>
      </c>
      <c r="S183" s="4">
        <v>3</v>
      </c>
      <c r="T183" s="4">
        <v>3</v>
      </c>
      <c r="U183" s="5" t="s">
        <v>2443</v>
      </c>
      <c r="V183" s="5" t="s">
        <v>2443</v>
      </c>
      <c r="W183" s="5" t="s">
        <v>1397</v>
      </c>
      <c r="X183" s="5" t="s">
        <v>1397</v>
      </c>
      <c r="Y183" s="4">
        <v>273</v>
      </c>
      <c r="Z183" s="4">
        <v>232</v>
      </c>
      <c r="AA183" s="4">
        <v>240</v>
      </c>
      <c r="AB183" s="4">
        <v>2</v>
      </c>
      <c r="AC183" s="4">
        <v>2</v>
      </c>
      <c r="AD183" s="4">
        <v>11</v>
      </c>
      <c r="AE183" s="4">
        <v>11</v>
      </c>
      <c r="AF183" s="4">
        <v>4</v>
      </c>
      <c r="AG183" s="4">
        <v>4</v>
      </c>
      <c r="AH183" s="4">
        <v>2</v>
      </c>
      <c r="AI183" s="4">
        <v>2</v>
      </c>
      <c r="AJ183" s="4">
        <v>6</v>
      </c>
      <c r="AK183" s="4">
        <v>6</v>
      </c>
      <c r="AL183" s="4">
        <v>1</v>
      </c>
      <c r="AM183" s="4">
        <v>1</v>
      </c>
      <c r="AN183" s="4">
        <v>0</v>
      </c>
      <c r="AO183" s="4">
        <v>0</v>
      </c>
      <c r="AP183" s="3" t="s">
        <v>58</v>
      </c>
      <c r="AQ183" s="3" t="s">
        <v>68</v>
      </c>
      <c r="AR183" s="6" t="str">
        <f>HYPERLINK("http://catalog.hathitrust.org/Record/000629167","HathiTrust Record")</f>
        <v>HathiTrust Record</v>
      </c>
      <c r="AS183" s="6" t="str">
        <f>HYPERLINK("https://creighton-primo.hosted.exlibrisgroup.com/primo-explore/search?tab=default_tab&amp;search_scope=EVERYTHING&amp;vid=01CRU&amp;lang=en_US&amp;offset=0&amp;query=any,contains,991000760419702656","Catalog Record")</f>
        <v>Catalog Record</v>
      </c>
      <c r="AT183" s="6" t="str">
        <f>HYPERLINK("http://www.worldcat.org/oclc/12972895","WorldCat Record")</f>
        <v>WorldCat Record</v>
      </c>
      <c r="AU183" s="3" t="s">
        <v>2444</v>
      </c>
      <c r="AV183" s="3" t="s">
        <v>2445</v>
      </c>
      <c r="AW183" s="3" t="s">
        <v>2446</v>
      </c>
      <c r="AX183" s="3" t="s">
        <v>2446</v>
      </c>
      <c r="AY183" s="3" t="s">
        <v>2447</v>
      </c>
      <c r="AZ183" s="3" t="s">
        <v>73</v>
      </c>
      <c r="BB183" s="3" t="s">
        <v>2448</v>
      </c>
      <c r="BC183" s="3" t="s">
        <v>2449</v>
      </c>
      <c r="BD183" s="3" t="s">
        <v>2450</v>
      </c>
    </row>
    <row r="184" spans="1:56" ht="45" customHeight="1" x14ac:dyDescent="0.25">
      <c r="A184" s="8" t="s">
        <v>58</v>
      </c>
      <c r="B184" s="2" t="s">
        <v>2451</v>
      </c>
      <c r="C184" s="2" t="s">
        <v>2452</v>
      </c>
      <c r="D184" s="2" t="s">
        <v>2453</v>
      </c>
      <c r="F184" s="3" t="s">
        <v>58</v>
      </c>
      <c r="G184" s="3" t="s">
        <v>59</v>
      </c>
      <c r="H184" s="3" t="s">
        <v>58</v>
      </c>
      <c r="I184" s="3" t="s">
        <v>58</v>
      </c>
      <c r="J184" s="3" t="s">
        <v>60</v>
      </c>
      <c r="K184" s="2" t="s">
        <v>2454</v>
      </c>
      <c r="L184" s="2" t="s">
        <v>2455</v>
      </c>
      <c r="M184" s="3" t="s">
        <v>681</v>
      </c>
      <c r="O184" s="3" t="s">
        <v>64</v>
      </c>
      <c r="P184" s="3" t="s">
        <v>250</v>
      </c>
      <c r="R184" s="3" t="s">
        <v>66</v>
      </c>
      <c r="S184" s="4">
        <v>12</v>
      </c>
      <c r="T184" s="4">
        <v>12</v>
      </c>
      <c r="U184" s="5" t="s">
        <v>2456</v>
      </c>
      <c r="V184" s="5" t="s">
        <v>2456</v>
      </c>
      <c r="W184" s="5" t="s">
        <v>2457</v>
      </c>
      <c r="X184" s="5" t="s">
        <v>2457</v>
      </c>
      <c r="Y184" s="4">
        <v>483</v>
      </c>
      <c r="Z184" s="4">
        <v>395</v>
      </c>
      <c r="AA184" s="4">
        <v>397</v>
      </c>
      <c r="AB184" s="4">
        <v>5</v>
      </c>
      <c r="AC184" s="4">
        <v>5</v>
      </c>
      <c r="AD184" s="4">
        <v>14</v>
      </c>
      <c r="AE184" s="4">
        <v>14</v>
      </c>
      <c r="AF184" s="4">
        <v>4</v>
      </c>
      <c r="AG184" s="4">
        <v>4</v>
      </c>
      <c r="AH184" s="4">
        <v>1</v>
      </c>
      <c r="AI184" s="4">
        <v>1</v>
      </c>
      <c r="AJ184" s="4">
        <v>6</v>
      </c>
      <c r="AK184" s="4">
        <v>6</v>
      </c>
      <c r="AL184" s="4">
        <v>4</v>
      </c>
      <c r="AM184" s="4">
        <v>4</v>
      </c>
      <c r="AN184" s="4">
        <v>0</v>
      </c>
      <c r="AO184" s="4">
        <v>0</v>
      </c>
      <c r="AP184" s="3" t="s">
        <v>58</v>
      </c>
      <c r="AQ184" s="3" t="s">
        <v>68</v>
      </c>
      <c r="AR184" s="6" t="str">
        <f>HYPERLINK("http://catalog.hathitrust.org/Record/000112497","HathiTrust Record")</f>
        <v>HathiTrust Record</v>
      </c>
      <c r="AS184" s="6" t="str">
        <f>HYPERLINK("https://creighton-primo.hosted.exlibrisgroup.com/primo-explore/search?tab=default_tab&amp;search_scope=EVERYTHING&amp;vid=01CRU&amp;lang=en_US&amp;offset=0&amp;query=any,contains,991000080199702656","Catalog Record")</f>
        <v>Catalog Record</v>
      </c>
      <c r="AT184" s="6" t="str">
        <f>HYPERLINK("http://www.worldcat.org/oclc/8827486","WorldCat Record")</f>
        <v>WorldCat Record</v>
      </c>
      <c r="AU184" s="3" t="s">
        <v>2458</v>
      </c>
      <c r="AV184" s="3" t="s">
        <v>2459</v>
      </c>
      <c r="AW184" s="3" t="s">
        <v>2460</v>
      </c>
      <c r="AX184" s="3" t="s">
        <v>2460</v>
      </c>
      <c r="AY184" s="3" t="s">
        <v>2461</v>
      </c>
      <c r="AZ184" s="3" t="s">
        <v>73</v>
      </c>
      <c r="BB184" s="3" t="s">
        <v>2462</v>
      </c>
      <c r="BC184" s="3" t="s">
        <v>2463</v>
      </c>
      <c r="BD184" s="3" t="s">
        <v>2464</v>
      </c>
    </row>
    <row r="185" spans="1:56" ht="45" customHeight="1" x14ac:dyDescent="0.25">
      <c r="A185" s="8" t="s">
        <v>58</v>
      </c>
      <c r="B185" s="2" t="s">
        <v>2465</v>
      </c>
      <c r="C185" s="2" t="s">
        <v>2466</v>
      </c>
      <c r="D185" s="2" t="s">
        <v>2467</v>
      </c>
      <c r="F185" s="3" t="s">
        <v>58</v>
      </c>
      <c r="G185" s="3" t="s">
        <v>59</v>
      </c>
      <c r="H185" s="3" t="s">
        <v>58</v>
      </c>
      <c r="I185" s="3" t="s">
        <v>58</v>
      </c>
      <c r="J185" s="3" t="s">
        <v>60</v>
      </c>
      <c r="K185" s="2" t="s">
        <v>2468</v>
      </c>
      <c r="L185" s="2" t="s">
        <v>2469</v>
      </c>
      <c r="M185" s="3" t="s">
        <v>306</v>
      </c>
      <c r="O185" s="3" t="s">
        <v>64</v>
      </c>
      <c r="P185" s="3" t="s">
        <v>177</v>
      </c>
      <c r="R185" s="3" t="s">
        <v>66</v>
      </c>
      <c r="S185" s="4">
        <v>3</v>
      </c>
      <c r="T185" s="4">
        <v>3</v>
      </c>
      <c r="U185" s="5" t="s">
        <v>2470</v>
      </c>
      <c r="V185" s="5" t="s">
        <v>2470</v>
      </c>
      <c r="W185" s="5" t="s">
        <v>722</v>
      </c>
      <c r="X185" s="5" t="s">
        <v>722</v>
      </c>
      <c r="Y185" s="4">
        <v>321</v>
      </c>
      <c r="Z185" s="4">
        <v>218</v>
      </c>
      <c r="AA185" s="4">
        <v>226</v>
      </c>
      <c r="AB185" s="4">
        <v>2</v>
      </c>
      <c r="AC185" s="4">
        <v>2</v>
      </c>
      <c r="AD185" s="4">
        <v>3</v>
      </c>
      <c r="AE185" s="4">
        <v>3</v>
      </c>
      <c r="AF185" s="4">
        <v>1</v>
      </c>
      <c r="AG185" s="4">
        <v>1</v>
      </c>
      <c r="AH185" s="4">
        <v>1</v>
      </c>
      <c r="AI185" s="4">
        <v>1</v>
      </c>
      <c r="AJ185" s="4">
        <v>1</v>
      </c>
      <c r="AK185" s="4">
        <v>1</v>
      </c>
      <c r="AL185" s="4">
        <v>1</v>
      </c>
      <c r="AM185" s="4">
        <v>1</v>
      </c>
      <c r="AN185" s="4">
        <v>0</v>
      </c>
      <c r="AO185" s="4">
        <v>0</v>
      </c>
      <c r="AP185" s="3" t="s">
        <v>58</v>
      </c>
      <c r="AQ185" s="3" t="s">
        <v>68</v>
      </c>
      <c r="AR185" s="6" t="str">
        <f>HYPERLINK("http://catalog.hathitrust.org/Record/001570806","HathiTrust Record")</f>
        <v>HathiTrust Record</v>
      </c>
      <c r="AS185" s="6" t="str">
        <f>HYPERLINK("https://creighton-primo.hosted.exlibrisgroup.com/primo-explore/search?tab=default_tab&amp;search_scope=EVERYTHING&amp;vid=01CRU&amp;lang=en_US&amp;offset=0&amp;query=any,contains,991003229759702656","Catalog Record")</f>
        <v>Catalog Record</v>
      </c>
      <c r="AT185" s="6" t="str">
        <f>HYPERLINK("http://www.worldcat.org/oclc/754512","WorldCat Record")</f>
        <v>WorldCat Record</v>
      </c>
      <c r="AU185" s="3" t="s">
        <v>2471</v>
      </c>
      <c r="AV185" s="3" t="s">
        <v>2472</v>
      </c>
      <c r="AW185" s="3" t="s">
        <v>2473</v>
      </c>
      <c r="AX185" s="3" t="s">
        <v>2473</v>
      </c>
      <c r="AY185" s="3" t="s">
        <v>2474</v>
      </c>
      <c r="AZ185" s="3" t="s">
        <v>73</v>
      </c>
      <c r="BB185" s="3" t="s">
        <v>2475</v>
      </c>
      <c r="BC185" s="3" t="s">
        <v>2476</v>
      </c>
      <c r="BD185" s="3" t="s">
        <v>2477</v>
      </c>
    </row>
    <row r="186" spans="1:56" ht="45" customHeight="1" x14ac:dyDescent="0.25">
      <c r="A186" s="8" t="s">
        <v>58</v>
      </c>
      <c r="B186" s="2" t="s">
        <v>2478</v>
      </c>
      <c r="C186" s="2" t="s">
        <v>2479</v>
      </c>
      <c r="D186" s="2" t="s">
        <v>2480</v>
      </c>
      <c r="F186" s="3" t="s">
        <v>58</v>
      </c>
      <c r="G186" s="3" t="s">
        <v>59</v>
      </c>
      <c r="H186" s="3" t="s">
        <v>68</v>
      </c>
      <c r="I186" s="3" t="s">
        <v>58</v>
      </c>
      <c r="J186" s="3" t="s">
        <v>60</v>
      </c>
      <c r="L186" s="2" t="s">
        <v>2481</v>
      </c>
      <c r="M186" s="3" t="s">
        <v>494</v>
      </c>
      <c r="O186" s="3" t="s">
        <v>64</v>
      </c>
      <c r="P186" s="3" t="s">
        <v>177</v>
      </c>
      <c r="Q186" s="2" t="s">
        <v>2482</v>
      </c>
      <c r="R186" s="3" t="s">
        <v>66</v>
      </c>
      <c r="S186" s="4">
        <v>7</v>
      </c>
      <c r="T186" s="4">
        <v>7</v>
      </c>
      <c r="U186" s="5" t="s">
        <v>2483</v>
      </c>
      <c r="V186" s="5" t="s">
        <v>2483</v>
      </c>
      <c r="W186" s="5" t="s">
        <v>2484</v>
      </c>
      <c r="X186" s="5" t="s">
        <v>2484</v>
      </c>
      <c r="Y186" s="4">
        <v>277</v>
      </c>
      <c r="Z186" s="4">
        <v>231</v>
      </c>
      <c r="AA186" s="4">
        <v>333</v>
      </c>
      <c r="AB186" s="4">
        <v>4</v>
      </c>
      <c r="AC186" s="4">
        <v>4</v>
      </c>
      <c r="AD186" s="4">
        <v>11</v>
      </c>
      <c r="AE186" s="4">
        <v>18</v>
      </c>
      <c r="AF186" s="4">
        <v>2</v>
      </c>
      <c r="AG186" s="4">
        <v>6</v>
      </c>
      <c r="AH186" s="4">
        <v>1</v>
      </c>
      <c r="AI186" s="4">
        <v>2</v>
      </c>
      <c r="AJ186" s="4">
        <v>7</v>
      </c>
      <c r="AK186" s="4">
        <v>12</v>
      </c>
      <c r="AL186" s="4">
        <v>2</v>
      </c>
      <c r="AM186" s="4">
        <v>2</v>
      </c>
      <c r="AN186" s="4">
        <v>0</v>
      </c>
      <c r="AO186" s="4">
        <v>0</v>
      </c>
      <c r="AP186" s="3" t="s">
        <v>58</v>
      </c>
      <c r="AQ186" s="3" t="s">
        <v>68</v>
      </c>
      <c r="AR186" s="6" t="str">
        <f>HYPERLINK("http://catalog.hathitrust.org/Record/000572167","HathiTrust Record")</f>
        <v>HathiTrust Record</v>
      </c>
      <c r="AS186" s="6" t="str">
        <f>HYPERLINK("https://creighton-primo.hosted.exlibrisgroup.com/primo-explore/search?tab=default_tab&amp;search_scope=EVERYTHING&amp;vid=01CRU&amp;lang=en_US&amp;offset=0&amp;query=any,contains,991000539169702656","Catalog Record")</f>
        <v>Catalog Record</v>
      </c>
      <c r="AT186" s="6" t="str">
        <f>HYPERLINK("http://www.worldcat.org/oclc/11469666","WorldCat Record")</f>
        <v>WorldCat Record</v>
      </c>
      <c r="AU186" s="3" t="s">
        <v>2485</v>
      </c>
      <c r="AV186" s="3" t="s">
        <v>2486</v>
      </c>
      <c r="AW186" s="3" t="s">
        <v>2487</v>
      </c>
      <c r="AX186" s="3" t="s">
        <v>2487</v>
      </c>
      <c r="AY186" s="3" t="s">
        <v>2488</v>
      </c>
      <c r="AZ186" s="3" t="s">
        <v>73</v>
      </c>
      <c r="BB186" s="3" t="s">
        <v>2489</v>
      </c>
      <c r="BC186" s="3" t="s">
        <v>2490</v>
      </c>
      <c r="BD186" s="3" t="s">
        <v>2491</v>
      </c>
    </row>
    <row r="187" spans="1:56" ht="45" customHeight="1" x14ac:dyDescent="0.25">
      <c r="A187" s="8" t="s">
        <v>58</v>
      </c>
      <c r="B187" s="2" t="s">
        <v>2492</v>
      </c>
      <c r="C187" s="2" t="s">
        <v>2493</v>
      </c>
      <c r="D187" s="2" t="s">
        <v>2494</v>
      </c>
      <c r="F187" s="3" t="s">
        <v>58</v>
      </c>
      <c r="G187" s="3" t="s">
        <v>59</v>
      </c>
      <c r="H187" s="3" t="s">
        <v>58</v>
      </c>
      <c r="I187" s="3" t="s">
        <v>58</v>
      </c>
      <c r="J187" s="3" t="s">
        <v>60</v>
      </c>
      <c r="K187" s="2" t="s">
        <v>2495</v>
      </c>
      <c r="L187" s="2" t="s">
        <v>2496</v>
      </c>
      <c r="M187" s="3" t="s">
        <v>291</v>
      </c>
      <c r="O187" s="3" t="s">
        <v>64</v>
      </c>
      <c r="P187" s="3" t="s">
        <v>422</v>
      </c>
      <c r="R187" s="3" t="s">
        <v>66</v>
      </c>
      <c r="S187" s="4">
        <v>14</v>
      </c>
      <c r="T187" s="4">
        <v>14</v>
      </c>
      <c r="U187" s="5" t="s">
        <v>2497</v>
      </c>
      <c r="V187" s="5" t="s">
        <v>2497</v>
      </c>
      <c r="W187" s="5" t="s">
        <v>2498</v>
      </c>
      <c r="X187" s="5" t="s">
        <v>2498</v>
      </c>
      <c r="Y187" s="4">
        <v>1688</v>
      </c>
      <c r="Z187" s="4">
        <v>1525</v>
      </c>
      <c r="AA187" s="4">
        <v>3061</v>
      </c>
      <c r="AB187" s="4">
        <v>12</v>
      </c>
      <c r="AC187" s="4">
        <v>21</v>
      </c>
      <c r="AD187" s="4">
        <v>32</v>
      </c>
      <c r="AE187" s="4">
        <v>55</v>
      </c>
      <c r="AF187" s="4">
        <v>15</v>
      </c>
      <c r="AG187" s="4">
        <v>26</v>
      </c>
      <c r="AH187" s="4">
        <v>6</v>
      </c>
      <c r="AI187" s="4">
        <v>9</v>
      </c>
      <c r="AJ187" s="4">
        <v>13</v>
      </c>
      <c r="AK187" s="4">
        <v>23</v>
      </c>
      <c r="AL187" s="4">
        <v>5</v>
      </c>
      <c r="AM187" s="4">
        <v>9</v>
      </c>
      <c r="AN187" s="4">
        <v>0</v>
      </c>
      <c r="AO187" s="4">
        <v>0</v>
      </c>
      <c r="AP187" s="3" t="s">
        <v>58</v>
      </c>
      <c r="AQ187" s="3" t="s">
        <v>68</v>
      </c>
      <c r="AR187" s="6" t="str">
        <f>HYPERLINK("http://catalog.hathitrust.org/Record/000184622","HathiTrust Record")</f>
        <v>HathiTrust Record</v>
      </c>
      <c r="AS187" s="6" t="str">
        <f>HYPERLINK("https://creighton-primo.hosted.exlibrisgroup.com/primo-explore/search?tab=default_tab&amp;search_scope=EVERYTHING&amp;vid=01CRU&amp;lang=en_US&amp;offset=0&amp;query=any,contains,991005161679702656","Catalog Record")</f>
        <v>Catalog Record</v>
      </c>
      <c r="AT187" s="6" t="str">
        <f>HYPERLINK("http://www.worldcat.org/oclc/7795438","WorldCat Record")</f>
        <v>WorldCat Record</v>
      </c>
      <c r="AU187" s="3" t="s">
        <v>2499</v>
      </c>
      <c r="AV187" s="3" t="s">
        <v>2500</v>
      </c>
      <c r="AW187" s="3" t="s">
        <v>2501</v>
      </c>
      <c r="AX187" s="3" t="s">
        <v>2501</v>
      </c>
      <c r="AY187" s="3" t="s">
        <v>2502</v>
      </c>
      <c r="AZ187" s="3" t="s">
        <v>73</v>
      </c>
      <c r="BB187" s="3" t="s">
        <v>2503</v>
      </c>
      <c r="BC187" s="3" t="s">
        <v>2504</v>
      </c>
      <c r="BD187" s="3" t="s">
        <v>2505</v>
      </c>
    </row>
    <row r="188" spans="1:56" ht="45" customHeight="1" x14ac:dyDescent="0.25">
      <c r="A188" s="8" t="s">
        <v>58</v>
      </c>
      <c r="B188" s="2" t="s">
        <v>2506</v>
      </c>
      <c r="C188" s="2" t="s">
        <v>2507</v>
      </c>
      <c r="D188" s="2" t="s">
        <v>2508</v>
      </c>
      <c r="F188" s="3" t="s">
        <v>58</v>
      </c>
      <c r="G188" s="3" t="s">
        <v>59</v>
      </c>
      <c r="H188" s="3" t="s">
        <v>58</v>
      </c>
      <c r="I188" s="3" t="s">
        <v>58</v>
      </c>
      <c r="J188" s="3" t="s">
        <v>60</v>
      </c>
      <c r="K188" s="2" t="s">
        <v>2509</v>
      </c>
      <c r="L188" s="2" t="s">
        <v>248</v>
      </c>
      <c r="M188" s="3" t="s">
        <v>249</v>
      </c>
      <c r="O188" s="3" t="s">
        <v>64</v>
      </c>
      <c r="P188" s="3" t="s">
        <v>250</v>
      </c>
      <c r="R188" s="3" t="s">
        <v>66</v>
      </c>
      <c r="S188" s="4">
        <v>10</v>
      </c>
      <c r="T188" s="4">
        <v>10</v>
      </c>
      <c r="U188" s="5" t="s">
        <v>2510</v>
      </c>
      <c r="V188" s="5" t="s">
        <v>2510</v>
      </c>
      <c r="W188" s="5" t="s">
        <v>2511</v>
      </c>
      <c r="X188" s="5" t="s">
        <v>2511</v>
      </c>
      <c r="Y188" s="4">
        <v>339</v>
      </c>
      <c r="Z188" s="4">
        <v>244</v>
      </c>
      <c r="AA188" s="4">
        <v>253</v>
      </c>
      <c r="AB188" s="4">
        <v>3</v>
      </c>
      <c r="AC188" s="4">
        <v>3</v>
      </c>
      <c r="AD188" s="4">
        <v>6</v>
      </c>
      <c r="AE188" s="4">
        <v>6</v>
      </c>
      <c r="AF188" s="4">
        <v>0</v>
      </c>
      <c r="AG188" s="4">
        <v>0</v>
      </c>
      <c r="AH188" s="4">
        <v>2</v>
      </c>
      <c r="AI188" s="4">
        <v>2</v>
      </c>
      <c r="AJ188" s="4">
        <v>4</v>
      </c>
      <c r="AK188" s="4">
        <v>4</v>
      </c>
      <c r="AL188" s="4">
        <v>2</v>
      </c>
      <c r="AM188" s="4">
        <v>2</v>
      </c>
      <c r="AN188" s="4">
        <v>0</v>
      </c>
      <c r="AO188" s="4">
        <v>0</v>
      </c>
      <c r="AP188" s="3" t="s">
        <v>58</v>
      </c>
      <c r="AQ188" s="3" t="s">
        <v>68</v>
      </c>
      <c r="AR188" s="6" t="str">
        <f>HYPERLINK("http://catalog.hathitrust.org/Record/000213910","HathiTrust Record")</f>
        <v>HathiTrust Record</v>
      </c>
      <c r="AS188" s="6" t="str">
        <f>HYPERLINK("https://creighton-primo.hosted.exlibrisgroup.com/primo-explore/search?tab=default_tab&amp;search_scope=EVERYTHING&amp;vid=01CRU&amp;lang=en_US&amp;offset=0&amp;query=any,contains,991004298209702656","Catalog Record")</f>
        <v>Catalog Record</v>
      </c>
      <c r="AT188" s="6" t="str">
        <f>HYPERLINK("http://www.worldcat.org/oclc/2966612","WorldCat Record")</f>
        <v>WorldCat Record</v>
      </c>
      <c r="AU188" s="3" t="s">
        <v>2512</v>
      </c>
      <c r="AV188" s="3" t="s">
        <v>2513</v>
      </c>
      <c r="AW188" s="3" t="s">
        <v>2514</v>
      </c>
      <c r="AX188" s="3" t="s">
        <v>2514</v>
      </c>
      <c r="AY188" s="3" t="s">
        <v>2515</v>
      </c>
      <c r="AZ188" s="3" t="s">
        <v>73</v>
      </c>
      <c r="BB188" s="3" t="s">
        <v>2516</v>
      </c>
      <c r="BC188" s="3" t="s">
        <v>2517</v>
      </c>
      <c r="BD188" s="3" t="s">
        <v>2518</v>
      </c>
    </row>
    <row r="189" spans="1:56" ht="45" customHeight="1" x14ac:dyDescent="0.25">
      <c r="A189" s="8" t="s">
        <v>58</v>
      </c>
      <c r="B189" s="2" t="s">
        <v>2519</v>
      </c>
      <c r="C189" s="2" t="s">
        <v>2520</v>
      </c>
      <c r="D189" s="2" t="s">
        <v>2521</v>
      </c>
      <c r="F189" s="3" t="s">
        <v>58</v>
      </c>
      <c r="G189" s="3" t="s">
        <v>59</v>
      </c>
      <c r="H189" s="3" t="s">
        <v>58</v>
      </c>
      <c r="I189" s="3" t="s">
        <v>58</v>
      </c>
      <c r="J189" s="3" t="s">
        <v>60</v>
      </c>
      <c r="K189" s="2" t="s">
        <v>2509</v>
      </c>
      <c r="L189" s="2" t="s">
        <v>2522</v>
      </c>
      <c r="M189" s="3" t="s">
        <v>450</v>
      </c>
      <c r="O189" s="3" t="s">
        <v>64</v>
      </c>
      <c r="P189" s="3" t="s">
        <v>250</v>
      </c>
      <c r="R189" s="3" t="s">
        <v>66</v>
      </c>
      <c r="S189" s="4">
        <v>28</v>
      </c>
      <c r="T189" s="4">
        <v>28</v>
      </c>
      <c r="U189" s="5" t="s">
        <v>2523</v>
      </c>
      <c r="V189" s="5" t="s">
        <v>2523</v>
      </c>
      <c r="W189" s="5" t="s">
        <v>2524</v>
      </c>
      <c r="X189" s="5" t="s">
        <v>2524</v>
      </c>
      <c r="Y189" s="4">
        <v>243</v>
      </c>
      <c r="Z189" s="4">
        <v>183</v>
      </c>
      <c r="AA189" s="4">
        <v>368</v>
      </c>
      <c r="AB189" s="4">
        <v>4</v>
      </c>
      <c r="AC189" s="4">
        <v>6</v>
      </c>
      <c r="AD189" s="4">
        <v>8</v>
      </c>
      <c r="AE189" s="4">
        <v>17</v>
      </c>
      <c r="AF189" s="4">
        <v>2</v>
      </c>
      <c r="AG189" s="4">
        <v>5</v>
      </c>
      <c r="AH189" s="4">
        <v>2</v>
      </c>
      <c r="AI189" s="4">
        <v>3</v>
      </c>
      <c r="AJ189" s="4">
        <v>5</v>
      </c>
      <c r="AK189" s="4">
        <v>10</v>
      </c>
      <c r="AL189" s="4">
        <v>2</v>
      </c>
      <c r="AM189" s="4">
        <v>4</v>
      </c>
      <c r="AN189" s="4">
        <v>0</v>
      </c>
      <c r="AO189" s="4">
        <v>0</v>
      </c>
      <c r="AP189" s="3" t="s">
        <v>58</v>
      </c>
      <c r="AQ189" s="3" t="s">
        <v>68</v>
      </c>
      <c r="AR189" s="6" t="str">
        <f>HYPERLINK("http://catalog.hathitrust.org/Record/000828456","HathiTrust Record")</f>
        <v>HathiTrust Record</v>
      </c>
      <c r="AS189" s="6" t="str">
        <f>HYPERLINK("https://creighton-primo.hosted.exlibrisgroup.com/primo-explore/search?tab=default_tab&amp;search_scope=EVERYTHING&amp;vid=01CRU&amp;lang=en_US&amp;offset=0&amp;query=any,contains,991000909079702656","Catalog Record")</f>
        <v>Catalog Record</v>
      </c>
      <c r="AT189" s="6" t="str">
        <f>HYPERLINK("http://www.worldcat.org/oclc/14129341","WorldCat Record")</f>
        <v>WorldCat Record</v>
      </c>
      <c r="AU189" s="3" t="s">
        <v>2525</v>
      </c>
      <c r="AV189" s="3" t="s">
        <v>2526</v>
      </c>
      <c r="AW189" s="3" t="s">
        <v>2527</v>
      </c>
      <c r="AX189" s="3" t="s">
        <v>2527</v>
      </c>
      <c r="AY189" s="3" t="s">
        <v>2528</v>
      </c>
      <c r="AZ189" s="3" t="s">
        <v>73</v>
      </c>
      <c r="BB189" s="3" t="s">
        <v>2529</v>
      </c>
      <c r="BC189" s="3" t="s">
        <v>2530</v>
      </c>
      <c r="BD189" s="3" t="s">
        <v>2531</v>
      </c>
    </row>
    <row r="190" spans="1:56" ht="45" customHeight="1" x14ac:dyDescent="0.25">
      <c r="A190" s="8" t="s">
        <v>58</v>
      </c>
      <c r="B190" s="2" t="s">
        <v>2532</v>
      </c>
      <c r="C190" s="2" t="s">
        <v>2533</v>
      </c>
      <c r="D190" s="2" t="s">
        <v>2534</v>
      </c>
      <c r="F190" s="3" t="s">
        <v>58</v>
      </c>
      <c r="G190" s="3" t="s">
        <v>59</v>
      </c>
      <c r="H190" s="3" t="s">
        <v>58</v>
      </c>
      <c r="I190" s="3" t="s">
        <v>58</v>
      </c>
      <c r="J190" s="3" t="s">
        <v>60</v>
      </c>
      <c r="L190" s="2" t="s">
        <v>2535</v>
      </c>
      <c r="M190" s="3" t="s">
        <v>146</v>
      </c>
      <c r="O190" s="3" t="s">
        <v>64</v>
      </c>
      <c r="P190" s="3" t="s">
        <v>65</v>
      </c>
      <c r="Q190" s="2" t="s">
        <v>2536</v>
      </c>
      <c r="R190" s="3" t="s">
        <v>66</v>
      </c>
      <c r="S190" s="4">
        <v>3</v>
      </c>
      <c r="T190" s="4">
        <v>3</v>
      </c>
      <c r="U190" s="5" t="s">
        <v>2537</v>
      </c>
      <c r="V190" s="5" t="s">
        <v>2537</v>
      </c>
      <c r="W190" s="5" t="s">
        <v>2538</v>
      </c>
      <c r="X190" s="5" t="s">
        <v>2538</v>
      </c>
      <c r="Y190" s="4">
        <v>184</v>
      </c>
      <c r="Z190" s="4">
        <v>127</v>
      </c>
      <c r="AA190" s="4">
        <v>127</v>
      </c>
      <c r="AB190" s="4">
        <v>3</v>
      </c>
      <c r="AC190" s="4">
        <v>3</v>
      </c>
      <c r="AD190" s="4">
        <v>10</v>
      </c>
      <c r="AE190" s="4">
        <v>10</v>
      </c>
      <c r="AF190" s="4">
        <v>3</v>
      </c>
      <c r="AG190" s="4">
        <v>3</v>
      </c>
      <c r="AH190" s="4">
        <v>1</v>
      </c>
      <c r="AI190" s="4">
        <v>1</v>
      </c>
      <c r="AJ190" s="4">
        <v>6</v>
      </c>
      <c r="AK190" s="4">
        <v>6</v>
      </c>
      <c r="AL190" s="4">
        <v>2</v>
      </c>
      <c r="AM190" s="4">
        <v>2</v>
      </c>
      <c r="AN190" s="4">
        <v>0</v>
      </c>
      <c r="AO190" s="4">
        <v>0</v>
      </c>
      <c r="AP190" s="3" t="s">
        <v>58</v>
      </c>
      <c r="AQ190" s="3" t="s">
        <v>58</v>
      </c>
      <c r="AS190" s="6" t="str">
        <f>HYPERLINK("https://creighton-primo.hosted.exlibrisgroup.com/primo-explore/search?tab=default_tab&amp;search_scope=EVERYTHING&amp;vid=01CRU&amp;lang=en_US&amp;offset=0&amp;query=any,contains,991002717089702656","Catalog Record")</f>
        <v>Catalog Record</v>
      </c>
      <c r="AT190" s="6" t="str">
        <f>HYPERLINK("http://www.worldcat.org/oclc/35637365","WorldCat Record")</f>
        <v>WorldCat Record</v>
      </c>
      <c r="AU190" s="3" t="s">
        <v>2539</v>
      </c>
      <c r="AV190" s="3" t="s">
        <v>2540</v>
      </c>
      <c r="AW190" s="3" t="s">
        <v>2541</v>
      </c>
      <c r="AX190" s="3" t="s">
        <v>2541</v>
      </c>
      <c r="AY190" s="3" t="s">
        <v>2542</v>
      </c>
      <c r="AZ190" s="3" t="s">
        <v>73</v>
      </c>
      <c r="BB190" s="3" t="s">
        <v>2543</v>
      </c>
      <c r="BC190" s="3" t="s">
        <v>2544</v>
      </c>
      <c r="BD190" s="3" t="s">
        <v>2545</v>
      </c>
    </row>
    <row r="191" spans="1:56" ht="45" customHeight="1" x14ac:dyDescent="0.25">
      <c r="A191" s="8" t="s">
        <v>58</v>
      </c>
      <c r="B191" s="2" t="s">
        <v>2546</v>
      </c>
      <c r="C191" s="2" t="s">
        <v>2547</v>
      </c>
      <c r="D191" s="2" t="s">
        <v>2548</v>
      </c>
      <c r="F191" s="3" t="s">
        <v>58</v>
      </c>
      <c r="G191" s="3" t="s">
        <v>59</v>
      </c>
      <c r="H191" s="3" t="s">
        <v>58</v>
      </c>
      <c r="I191" s="3" t="s">
        <v>58</v>
      </c>
      <c r="J191" s="3" t="s">
        <v>60</v>
      </c>
      <c r="K191" s="2" t="s">
        <v>2549</v>
      </c>
      <c r="L191" s="2" t="s">
        <v>2550</v>
      </c>
      <c r="M191" s="3" t="s">
        <v>129</v>
      </c>
      <c r="O191" s="3" t="s">
        <v>64</v>
      </c>
      <c r="P191" s="3" t="s">
        <v>177</v>
      </c>
      <c r="R191" s="3" t="s">
        <v>66</v>
      </c>
      <c r="S191" s="4">
        <v>2</v>
      </c>
      <c r="T191" s="4">
        <v>2</v>
      </c>
      <c r="U191" s="5" t="s">
        <v>2551</v>
      </c>
      <c r="V191" s="5" t="s">
        <v>2551</v>
      </c>
      <c r="W191" s="5" t="s">
        <v>1560</v>
      </c>
      <c r="X191" s="5" t="s">
        <v>1560</v>
      </c>
      <c r="Y191" s="4">
        <v>245</v>
      </c>
      <c r="Z191" s="4">
        <v>204</v>
      </c>
      <c r="AA191" s="4">
        <v>206</v>
      </c>
      <c r="AB191" s="4">
        <v>4</v>
      </c>
      <c r="AC191" s="4">
        <v>4</v>
      </c>
      <c r="AD191" s="4">
        <v>7</v>
      </c>
      <c r="AE191" s="4">
        <v>7</v>
      </c>
      <c r="AF191" s="4">
        <v>0</v>
      </c>
      <c r="AG191" s="4">
        <v>0</v>
      </c>
      <c r="AH191" s="4">
        <v>0</v>
      </c>
      <c r="AI191" s="4">
        <v>0</v>
      </c>
      <c r="AJ191" s="4">
        <v>5</v>
      </c>
      <c r="AK191" s="4">
        <v>5</v>
      </c>
      <c r="AL191" s="4">
        <v>2</v>
      </c>
      <c r="AM191" s="4">
        <v>2</v>
      </c>
      <c r="AN191" s="4">
        <v>0</v>
      </c>
      <c r="AO191" s="4">
        <v>0</v>
      </c>
      <c r="AP191" s="3" t="s">
        <v>58</v>
      </c>
      <c r="AQ191" s="3" t="s">
        <v>68</v>
      </c>
      <c r="AR191" s="6" t="str">
        <f>HYPERLINK("http://catalog.hathitrust.org/Record/000038935","HathiTrust Record")</f>
        <v>HathiTrust Record</v>
      </c>
      <c r="AS191" s="6" t="str">
        <f>HYPERLINK("https://creighton-primo.hosted.exlibrisgroup.com/primo-explore/search?tab=default_tab&amp;search_scope=EVERYTHING&amp;vid=01CRU&amp;lang=en_US&amp;offset=0&amp;query=any,contains,991003884339702656","Catalog Record")</f>
        <v>Catalog Record</v>
      </c>
      <c r="AT191" s="6" t="str">
        <f>HYPERLINK("http://www.worldcat.org/oclc/1733619","WorldCat Record")</f>
        <v>WorldCat Record</v>
      </c>
      <c r="AU191" s="3" t="s">
        <v>2552</v>
      </c>
      <c r="AV191" s="3" t="s">
        <v>2553</v>
      </c>
      <c r="AW191" s="3" t="s">
        <v>2554</v>
      </c>
      <c r="AX191" s="3" t="s">
        <v>2554</v>
      </c>
      <c r="AY191" s="3" t="s">
        <v>2555</v>
      </c>
      <c r="AZ191" s="3" t="s">
        <v>73</v>
      </c>
      <c r="BB191" s="3" t="s">
        <v>2556</v>
      </c>
      <c r="BC191" s="3" t="s">
        <v>2557</v>
      </c>
      <c r="BD191" s="3" t="s">
        <v>2558</v>
      </c>
    </row>
    <row r="192" spans="1:56" ht="45" customHeight="1" x14ac:dyDescent="0.25">
      <c r="A192" s="8" t="s">
        <v>58</v>
      </c>
      <c r="B192" s="2" t="s">
        <v>2559</v>
      </c>
      <c r="C192" s="2" t="s">
        <v>2560</v>
      </c>
      <c r="D192" s="2" t="s">
        <v>2561</v>
      </c>
      <c r="F192" s="3" t="s">
        <v>58</v>
      </c>
      <c r="G192" s="3" t="s">
        <v>59</v>
      </c>
      <c r="H192" s="3" t="s">
        <v>68</v>
      </c>
      <c r="I192" s="3" t="s">
        <v>58</v>
      </c>
      <c r="J192" s="3" t="s">
        <v>60</v>
      </c>
      <c r="K192" s="2" t="s">
        <v>2562</v>
      </c>
      <c r="L192" s="2" t="s">
        <v>2563</v>
      </c>
      <c r="M192" s="3" t="s">
        <v>494</v>
      </c>
      <c r="O192" s="3" t="s">
        <v>64</v>
      </c>
      <c r="P192" s="3" t="s">
        <v>65</v>
      </c>
      <c r="Q192" s="2" t="s">
        <v>2564</v>
      </c>
      <c r="R192" s="3" t="s">
        <v>66</v>
      </c>
      <c r="S192" s="4">
        <v>5</v>
      </c>
      <c r="T192" s="4">
        <v>5</v>
      </c>
      <c r="U192" s="5" t="s">
        <v>2407</v>
      </c>
      <c r="V192" s="5" t="s">
        <v>2407</v>
      </c>
      <c r="W192" s="5" t="s">
        <v>1926</v>
      </c>
      <c r="X192" s="5" t="s">
        <v>1926</v>
      </c>
      <c r="Y192" s="4">
        <v>360</v>
      </c>
      <c r="Z192" s="4">
        <v>283</v>
      </c>
      <c r="AA192" s="4">
        <v>285</v>
      </c>
      <c r="AB192" s="4">
        <v>2</v>
      </c>
      <c r="AC192" s="4">
        <v>2</v>
      </c>
      <c r="AD192" s="4">
        <v>8</v>
      </c>
      <c r="AE192" s="4">
        <v>8</v>
      </c>
      <c r="AF192" s="4">
        <v>2</v>
      </c>
      <c r="AG192" s="4">
        <v>2</v>
      </c>
      <c r="AH192" s="4">
        <v>3</v>
      </c>
      <c r="AI192" s="4">
        <v>3</v>
      </c>
      <c r="AJ192" s="4">
        <v>6</v>
      </c>
      <c r="AK192" s="4">
        <v>6</v>
      </c>
      <c r="AL192" s="4">
        <v>0</v>
      </c>
      <c r="AM192" s="4">
        <v>0</v>
      </c>
      <c r="AN192" s="4">
        <v>0</v>
      </c>
      <c r="AO192" s="4">
        <v>0</v>
      </c>
      <c r="AP192" s="3" t="s">
        <v>58</v>
      </c>
      <c r="AQ192" s="3" t="s">
        <v>68</v>
      </c>
      <c r="AR192" s="6" t="str">
        <f>HYPERLINK("http://catalog.hathitrust.org/Record/000431754","HathiTrust Record")</f>
        <v>HathiTrust Record</v>
      </c>
      <c r="AS192" s="6" t="str">
        <f>HYPERLINK("https://creighton-primo.hosted.exlibrisgroup.com/primo-explore/search?tab=default_tab&amp;search_scope=EVERYTHING&amp;vid=01CRU&amp;lang=en_US&amp;offset=0&amp;query=any,contains,991000584149702656","Catalog Record")</f>
        <v>Catalog Record</v>
      </c>
      <c r="AT192" s="6" t="str">
        <f>HYPERLINK("http://www.worldcat.org/oclc/11755668","WorldCat Record")</f>
        <v>WorldCat Record</v>
      </c>
      <c r="AU192" s="3" t="s">
        <v>2565</v>
      </c>
      <c r="AV192" s="3" t="s">
        <v>2566</v>
      </c>
      <c r="AW192" s="3" t="s">
        <v>2567</v>
      </c>
      <c r="AX192" s="3" t="s">
        <v>2567</v>
      </c>
      <c r="AY192" s="3" t="s">
        <v>2568</v>
      </c>
      <c r="AZ192" s="3" t="s">
        <v>73</v>
      </c>
      <c r="BB192" s="3" t="s">
        <v>2569</v>
      </c>
      <c r="BC192" s="3" t="s">
        <v>2570</v>
      </c>
      <c r="BD192" s="3" t="s">
        <v>2571</v>
      </c>
    </row>
    <row r="193" spans="1:56" ht="45" customHeight="1" x14ac:dyDescent="0.25">
      <c r="A193" s="8" t="s">
        <v>58</v>
      </c>
      <c r="B193" s="2" t="s">
        <v>2572</v>
      </c>
      <c r="C193" s="2" t="s">
        <v>2573</v>
      </c>
      <c r="D193" s="2" t="s">
        <v>2574</v>
      </c>
      <c r="F193" s="3" t="s">
        <v>58</v>
      </c>
      <c r="G193" s="3" t="s">
        <v>59</v>
      </c>
      <c r="H193" s="3" t="s">
        <v>58</v>
      </c>
      <c r="I193" s="3" t="s">
        <v>58</v>
      </c>
      <c r="J193" s="3" t="s">
        <v>60</v>
      </c>
      <c r="K193" s="2" t="s">
        <v>2562</v>
      </c>
      <c r="L193" s="2" t="s">
        <v>2575</v>
      </c>
      <c r="M193" s="3" t="s">
        <v>480</v>
      </c>
      <c r="O193" s="3" t="s">
        <v>64</v>
      </c>
      <c r="P193" s="3" t="s">
        <v>177</v>
      </c>
      <c r="R193" s="3" t="s">
        <v>66</v>
      </c>
      <c r="S193" s="4">
        <v>10</v>
      </c>
      <c r="T193" s="4">
        <v>10</v>
      </c>
      <c r="U193" s="5" t="s">
        <v>2523</v>
      </c>
      <c r="V193" s="5" t="s">
        <v>2523</v>
      </c>
      <c r="W193" s="5" t="s">
        <v>1926</v>
      </c>
      <c r="X193" s="5" t="s">
        <v>1926</v>
      </c>
      <c r="Y193" s="4">
        <v>224</v>
      </c>
      <c r="Z193" s="4">
        <v>171</v>
      </c>
      <c r="AA193" s="4">
        <v>298</v>
      </c>
      <c r="AB193" s="4">
        <v>6</v>
      </c>
      <c r="AC193" s="4">
        <v>6</v>
      </c>
      <c r="AD193" s="4">
        <v>5</v>
      </c>
      <c r="AE193" s="4">
        <v>9</v>
      </c>
      <c r="AF193" s="4">
        <v>1</v>
      </c>
      <c r="AG193" s="4">
        <v>2</v>
      </c>
      <c r="AH193" s="4">
        <v>1</v>
      </c>
      <c r="AI193" s="4">
        <v>1</v>
      </c>
      <c r="AJ193" s="4">
        <v>1</v>
      </c>
      <c r="AK193" s="4">
        <v>5</v>
      </c>
      <c r="AL193" s="4">
        <v>3</v>
      </c>
      <c r="AM193" s="4">
        <v>3</v>
      </c>
      <c r="AN193" s="4">
        <v>0</v>
      </c>
      <c r="AO193" s="4">
        <v>0</v>
      </c>
      <c r="AP193" s="3" t="s">
        <v>58</v>
      </c>
      <c r="AQ193" s="3" t="s">
        <v>58</v>
      </c>
      <c r="AS193" s="6" t="str">
        <f>HYPERLINK("https://creighton-primo.hosted.exlibrisgroup.com/primo-explore/search?tab=default_tab&amp;search_scope=EVERYTHING&amp;vid=01CRU&amp;lang=en_US&amp;offset=0&amp;query=any,contains,991005166789702656","Catalog Record")</f>
        <v>Catalog Record</v>
      </c>
      <c r="AT193" s="6" t="str">
        <f>HYPERLINK("http://www.worldcat.org/oclc/7836171","WorldCat Record")</f>
        <v>WorldCat Record</v>
      </c>
      <c r="AU193" s="3" t="s">
        <v>2576</v>
      </c>
      <c r="AV193" s="3" t="s">
        <v>2577</v>
      </c>
      <c r="AW193" s="3" t="s">
        <v>2578</v>
      </c>
      <c r="AX193" s="3" t="s">
        <v>2578</v>
      </c>
      <c r="AY193" s="3" t="s">
        <v>2579</v>
      </c>
      <c r="AZ193" s="3" t="s">
        <v>73</v>
      </c>
      <c r="BB193" s="3" t="s">
        <v>2580</v>
      </c>
      <c r="BC193" s="3" t="s">
        <v>2581</v>
      </c>
      <c r="BD193" s="3" t="s">
        <v>2582</v>
      </c>
    </row>
    <row r="194" spans="1:56" ht="45" customHeight="1" x14ac:dyDescent="0.25">
      <c r="A194" s="8" t="s">
        <v>58</v>
      </c>
      <c r="B194" s="2" t="s">
        <v>2583</v>
      </c>
      <c r="C194" s="2" t="s">
        <v>2584</v>
      </c>
      <c r="D194" s="2" t="s">
        <v>2585</v>
      </c>
      <c r="F194" s="3" t="s">
        <v>58</v>
      </c>
      <c r="G194" s="3" t="s">
        <v>59</v>
      </c>
      <c r="H194" s="3" t="s">
        <v>58</v>
      </c>
      <c r="I194" s="3" t="s">
        <v>58</v>
      </c>
      <c r="J194" s="3" t="s">
        <v>60</v>
      </c>
      <c r="L194" s="2" t="s">
        <v>2586</v>
      </c>
      <c r="M194" s="3" t="s">
        <v>580</v>
      </c>
      <c r="O194" s="3" t="s">
        <v>64</v>
      </c>
      <c r="P194" s="3" t="s">
        <v>177</v>
      </c>
      <c r="Q194" s="2" t="s">
        <v>2587</v>
      </c>
      <c r="R194" s="3" t="s">
        <v>66</v>
      </c>
      <c r="S194" s="4">
        <v>5</v>
      </c>
      <c r="T194" s="4">
        <v>5</v>
      </c>
      <c r="U194" s="5" t="s">
        <v>2588</v>
      </c>
      <c r="V194" s="5" t="s">
        <v>2588</v>
      </c>
      <c r="W194" s="5" t="s">
        <v>2589</v>
      </c>
      <c r="X194" s="5" t="s">
        <v>2589</v>
      </c>
      <c r="Y194" s="4">
        <v>264</v>
      </c>
      <c r="Z194" s="4">
        <v>189</v>
      </c>
      <c r="AA194" s="4">
        <v>197</v>
      </c>
      <c r="AB194" s="4">
        <v>2</v>
      </c>
      <c r="AC194" s="4">
        <v>2</v>
      </c>
      <c r="AD194" s="4">
        <v>13</v>
      </c>
      <c r="AE194" s="4">
        <v>13</v>
      </c>
      <c r="AF194" s="4">
        <v>4</v>
      </c>
      <c r="AG194" s="4">
        <v>4</v>
      </c>
      <c r="AH194" s="4">
        <v>3</v>
      </c>
      <c r="AI194" s="4">
        <v>3</v>
      </c>
      <c r="AJ194" s="4">
        <v>8</v>
      </c>
      <c r="AK194" s="4">
        <v>8</v>
      </c>
      <c r="AL194" s="4">
        <v>1</v>
      </c>
      <c r="AM194" s="4">
        <v>1</v>
      </c>
      <c r="AN194" s="4">
        <v>0</v>
      </c>
      <c r="AO194" s="4">
        <v>0</v>
      </c>
      <c r="AP194" s="3" t="s">
        <v>58</v>
      </c>
      <c r="AQ194" s="3" t="s">
        <v>68</v>
      </c>
      <c r="AR194" s="6" t="str">
        <f>HYPERLINK("http://catalog.hathitrust.org/Record/000942660","HathiTrust Record")</f>
        <v>HathiTrust Record</v>
      </c>
      <c r="AS194" s="6" t="str">
        <f>HYPERLINK("https://creighton-primo.hosted.exlibrisgroup.com/primo-explore/search?tab=default_tab&amp;search_scope=EVERYTHING&amp;vid=01CRU&amp;lang=en_US&amp;offset=0&amp;query=any,contains,991001315169702656","Catalog Record")</f>
        <v>Catalog Record</v>
      </c>
      <c r="AT194" s="6" t="str">
        <f>HYPERLINK("http://www.worldcat.org/oclc/18167260","WorldCat Record")</f>
        <v>WorldCat Record</v>
      </c>
      <c r="AU194" s="3" t="s">
        <v>2590</v>
      </c>
      <c r="AV194" s="3" t="s">
        <v>2591</v>
      </c>
      <c r="AW194" s="3" t="s">
        <v>2592</v>
      </c>
      <c r="AX194" s="3" t="s">
        <v>2592</v>
      </c>
      <c r="AY194" s="3" t="s">
        <v>2593</v>
      </c>
      <c r="AZ194" s="3" t="s">
        <v>73</v>
      </c>
      <c r="BB194" s="3" t="s">
        <v>2594</v>
      </c>
      <c r="BC194" s="3" t="s">
        <v>2595</v>
      </c>
      <c r="BD194" s="3" t="s">
        <v>2596</v>
      </c>
    </row>
    <row r="195" spans="1:56" ht="45" customHeight="1" x14ac:dyDescent="0.25">
      <c r="A195" s="8" t="s">
        <v>58</v>
      </c>
      <c r="B195" s="2" t="s">
        <v>2597</v>
      </c>
      <c r="C195" s="2" t="s">
        <v>2598</v>
      </c>
      <c r="D195" s="2" t="s">
        <v>2599</v>
      </c>
      <c r="F195" s="3" t="s">
        <v>58</v>
      </c>
      <c r="G195" s="3" t="s">
        <v>59</v>
      </c>
      <c r="H195" s="3" t="s">
        <v>58</v>
      </c>
      <c r="I195" s="3" t="s">
        <v>58</v>
      </c>
      <c r="J195" s="3" t="s">
        <v>60</v>
      </c>
      <c r="L195" s="2" t="s">
        <v>2600</v>
      </c>
      <c r="M195" s="3" t="s">
        <v>98</v>
      </c>
      <c r="O195" s="3" t="s">
        <v>64</v>
      </c>
      <c r="P195" s="3" t="s">
        <v>177</v>
      </c>
      <c r="Q195" s="2" t="s">
        <v>2601</v>
      </c>
      <c r="R195" s="3" t="s">
        <v>66</v>
      </c>
      <c r="S195" s="4">
        <v>2</v>
      </c>
      <c r="T195" s="4">
        <v>2</v>
      </c>
      <c r="U195" s="5" t="s">
        <v>2602</v>
      </c>
      <c r="V195" s="5" t="s">
        <v>2602</v>
      </c>
      <c r="W195" s="5" t="s">
        <v>2603</v>
      </c>
      <c r="X195" s="5" t="s">
        <v>2603</v>
      </c>
      <c r="Y195" s="4">
        <v>594</v>
      </c>
      <c r="Z195" s="4">
        <v>478</v>
      </c>
      <c r="AA195" s="4">
        <v>514</v>
      </c>
      <c r="AB195" s="4">
        <v>5</v>
      </c>
      <c r="AC195" s="4">
        <v>5</v>
      </c>
      <c r="AD195" s="4">
        <v>19</v>
      </c>
      <c r="AE195" s="4">
        <v>21</v>
      </c>
      <c r="AF195" s="4">
        <v>4</v>
      </c>
      <c r="AG195" s="4">
        <v>5</v>
      </c>
      <c r="AH195" s="4">
        <v>5</v>
      </c>
      <c r="AI195" s="4">
        <v>5</v>
      </c>
      <c r="AJ195" s="4">
        <v>11</v>
      </c>
      <c r="AK195" s="4">
        <v>12</v>
      </c>
      <c r="AL195" s="4">
        <v>3</v>
      </c>
      <c r="AM195" s="4">
        <v>3</v>
      </c>
      <c r="AN195" s="4">
        <v>0</v>
      </c>
      <c r="AO195" s="4">
        <v>0</v>
      </c>
      <c r="AP195" s="3" t="s">
        <v>58</v>
      </c>
      <c r="AQ195" s="3" t="s">
        <v>68</v>
      </c>
      <c r="AR195" s="6" t="str">
        <f>HYPERLINK("http://catalog.hathitrust.org/Record/001570834","HathiTrust Record")</f>
        <v>HathiTrust Record</v>
      </c>
      <c r="AS195" s="6" t="str">
        <f>HYPERLINK("https://creighton-primo.hosted.exlibrisgroup.com/primo-explore/search?tab=default_tab&amp;search_scope=EVERYTHING&amp;vid=01CRU&amp;lang=en_US&amp;offset=0&amp;query=any,contains,991000875059702656","Catalog Record")</f>
        <v>Catalog Record</v>
      </c>
      <c r="AT195" s="6" t="str">
        <f>HYPERLINK("http://www.worldcat.org/oclc/151656","WorldCat Record")</f>
        <v>WorldCat Record</v>
      </c>
      <c r="AU195" s="3" t="s">
        <v>2604</v>
      </c>
      <c r="AV195" s="3" t="s">
        <v>2605</v>
      </c>
      <c r="AW195" s="3" t="s">
        <v>2606</v>
      </c>
      <c r="AX195" s="3" t="s">
        <v>2606</v>
      </c>
      <c r="AY195" s="3" t="s">
        <v>2607</v>
      </c>
      <c r="AZ195" s="3" t="s">
        <v>73</v>
      </c>
      <c r="BB195" s="3" t="s">
        <v>2608</v>
      </c>
      <c r="BC195" s="3" t="s">
        <v>2609</v>
      </c>
      <c r="BD195" s="3" t="s">
        <v>2610</v>
      </c>
    </row>
    <row r="196" spans="1:56" ht="45" customHeight="1" x14ac:dyDescent="0.25">
      <c r="A196" s="8" t="s">
        <v>58</v>
      </c>
      <c r="B196" s="2" t="s">
        <v>2611</v>
      </c>
      <c r="C196" s="2" t="s">
        <v>2612</v>
      </c>
      <c r="D196" s="2" t="s">
        <v>2613</v>
      </c>
      <c r="F196" s="3" t="s">
        <v>58</v>
      </c>
      <c r="G196" s="3" t="s">
        <v>59</v>
      </c>
      <c r="H196" s="3" t="s">
        <v>58</v>
      </c>
      <c r="I196" s="3" t="s">
        <v>58</v>
      </c>
      <c r="J196" s="3" t="s">
        <v>60</v>
      </c>
      <c r="L196" s="2" t="s">
        <v>2614</v>
      </c>
      <c r="M196" s="3" t="s">
        <v>450</v>
      </c>
      <c r="O196" s="3" t="s">
        <v>64</v>
      </c>
      <c r="P196" s="3" t="s">
        <v>177</v>
      </c>
      <c r="Q196" s="2" t="s">
        <v>2615</v>
      </c>
      <c r="R196" s="3" t="s">
        <v>66</v>
      </c>
      <c r="S196" s="4">
        <v>1</v>
      </c>
      <c r="T196" s="4">
        <v>1</v>
      </c>
      <c r="U196" s="5" t="s">
        <v>2616</v>
      </c>
      <c r="V196" s="5" t="s">
        <v>2616</v>
      </c>
      <c r="W196" s="5" t="s">
        <v>1926</v>
      </c>
      <c r="X196" s="5" t="s">
        <v>1926</v>
      </c>
      <c r="Y196" s="4">
        <v>866</v>
      </c>
      <c r="Z196" s="4">
        <v>725</v>
      </c>
      <c r="AA196" s="4">
        <v>727</v>
      </c>
      <c r="AB196" s="4">
        <v>8</v>
      </c>
      <c r="AC196" s="4">
        <v>8</v>
      </c>
      <c r="AD196" s="4">
        <v>34</v>
      </c>
      <c r="AE196" s="4">
        <v>34</v>
      </c>
      <c r="AF196" s="4">
        <v>11</v>
      </c>
      <c r="AG196" s="4">
        <v>11</v>
      </c>
      <c r="AH196" s="4">
        <v>9</v>
      </c>
      <c r="AI196" s="4">
        <v>9</v>
      </c>
      <c r="AJ196" s="4">
        <v>15</v>
      </c>
      <c r="AK196" s="4">
        <v>15</v>
      </c>
      <c r="AL196" s="4">
        <v>7</v>
      </c>
      <c r="AM196" s="4">
        <v>7</v>
      </c>
      <c r="AN196" s="4">
        <v>0</v>
      </c>
      <c r="AO196" s="4">
        <v>0</v>
      </c>
      <c r="AP196" s="3" t="s">
        <v>58</v>
      </c>
      <c r="AQ196" s="3" t="s">
        <v>58</v>
      </c>
      <c r="AS196" s="6" t="str">
        <f>HYPERLINK("https://creighton-primo.hosted.exlibrisgroup.com/primo-explore/search?tab=default_tab&amp;search_scope=EVERYTHING&amp;vid=01CRU&amp;lang=en_US&amp;offset=0&amp;query=any,contains,991000953369702656","Catalog Record")</f>
        <v>Catalog Record</v>
      </c>
      <c r="AT196" s="6" t="str">
        <f>HYPERLINK("http://www.worldcat.org/oclc/14693097","WorldCat Record")</f>
        <v>WorldCat Record</v>
      </c>
      <c r="AU196" s="3" t="s">
        <v>2617</v>
      </c>
      <c r="AV196" s="3" t="s">
        <v>2618</v>
      </c>
      <c r="AW196" s="3" t="s">
        <v>2619</v>
      </c>
      <c r="AX196" s="3" t="s">
        <v>2619</v>
      </c>
      <c r="AY196" s="3" t="s">
        <v>2620</v>
      </c>
      <c r="AZ196" s="3" t="s">
        <v>73</v>
      </c>
      <c r="BB196" s="3" t="s">
        <v>2621</v>
      </c>
      <c r="BC196" s="3" t="s">
        <v>2622</v>
      </c>
      <c r="BD196" s="3" t="s">
        <v>2623</v>
      </c>
    </row>
    <row r="197" spans="1:56" ht="45" customHeight="1" x14ac:dyDescent="0.25">
      <c r="A197" s="8" t="s">
        <v>58</v>
      </c>
      <c r="B197" s="2" t="s">
        <v>2624</v>
      </c>
      <c r="C197" s="2" t="s">
        <v>2625</v>
      </c>
      <c r="D197" s="2" t="s">
        <v>2626</v>
      </c>
      <c r="F197" s="3" t="s">
        <v>58</v>
      </c>
      <c r="G197" s="3" t="s">
        <v>59</v>
      </c>
      <c r="H197" s="3" t="s">
        <v>58</v>
      </c>
      <c r="I197" s="3" t="s">
        <v>58</v>
      </c>
      <c r="J197" s="3" t="s">
        <v>60</v>
      </c>
      <c r="K197" s="2" t="s">
        <v>2627</v>
      </c>
      <c r="L197" s="2" t="s">
        <v>2628</v>
      </c>
      <c r="M197" s="3" t="s">
        <v>82</v>
      </c>
      <c r="O197" s="3" t="s">
        <v>64</v>
      </c>
      <c r="P197" s="3" t="s">
        <v>177</v>
      </c>
      <c r="R197" s="3" t="s">
        <v>66</v>
      </c>
      <c r="S197" s="4">
        <v>2</v>
      </c>
      <c r="T197" s="4">
        <v>2</v>
      </c>
      <c r="U197" s="5" t="s">
        <v>2629</v>
      </c>
      <c r="V197" s="5" t="s">
        <v>2629</v>
      </c>
      <c r="W197" s="5" t="s">
        <v>2002</v>
      </c>
      <c r="X197" s="5" t="s">
        <v>2002</v>
      </c>
      <c r="Y197" s="4">
        <v>187</v>
      </c>
      <c r="Z197" s="4">
        <v>145</v>
      </c>
      <c r="AA197" s="4">
        <v>161</v>
      </c>
      <c r="AB197" s="4">
        <v>3</v>
      </c>
      <c r="AC197" s="4">
        <v>3</v>
      </c>
      <c r="AD197" s="4">
        <v>5</v>
      </c>
      <c r="AE197" s="4">
        <v>6</v>
      </c>
      <c r="AF197" s="4">
        <v>1</v>
      </c>
      <c r="AG197" s="4">
        <v>1</v>
      </c>
      <c r="AH197" s="4">
        <v>0</v>
      </c>
      <c r="AI197" s="4">
        <v>0</v>
      </c>
      <c r="AJ197" s="4">
        <v>3</v>
      </c>
      <c r="AK197" s="4">
        <v>4</v>
      </c>
      <c r="AL197" s="4">
        <v>1</v>
      </c>
      <c r="AM197" s="4">
        <v>1</v>
      </c>
      <c r="AN197" s="4">
        <v>0</v>
      </c>
      <c r="AO197" s="4">
        <v>0</v>
      </c>
      <c r="AP197" s="3" t="s">
        <v>58</v>
      </c>
      <c r="AQ197" s="3" t="s">
        <v>68</v>
      </c>
      <c r="AR197" s="6" t="str">
        <f>HYPERLINK("http://catalog.hathitrust.org/Record/000696922","HathiTrust Record")</f>
        <v>HathiTrust Record</v>
      </c>
      <c r="AS197" s="6" t="str">
        <f>HYPERLINK("https://creighton-primo.hosted.exlibrisgroup.com/primo-explore/search?tab=default_tab&amp;search_scope=EVERYTHING&amp;vid=01CRU&amp;lang=en_US&amp;offset=0&amp;query=any,contains,991004787899702656","Catalog Record")</f>
        <v>Catalog Record</v>
      </c>
      <c r="AT197" s="6" t="str">
        <f>HYPERLINK("http://www.worldcat.org/oclc/6734204","WorldCat Record")</f>
        <v>WorldCat Record</v>
      </c>
      <c r="AU197" s="3" t="s">
        <v>2630</v>
      </c>
      <c r="AV197" s="3" t="s">
        <v>2631</v>
      </c>
      <c r="AW197" s="3" t="s">
        <v>2632</v>
      </c>
      <c r="AX197" s="3" t="s">
        <v>2632</v>
      </c>
      <c r="AY197" s="3" t="s">
        <v>2633</v>
      </c>
      <c r="AZ197" s="3" t="s">
        <v>73</v>
      </c>
      <c r="BB197" s="3" t="s">
        <v>2634</v>
      </c>
      <c r="BC197" s="3" t="s">
        <v>2635</v>
      </c>
      <c r="BD197" s="3" t="s">
        <v>2636</v>
      </c>
    </row>
    <row r="198" spans="1:56" ht="45" customHeight="1" x14ac:dyDescent="0.25">
      <c r="A198" s="8" t="s">
        <v>58</v>
      </c>
      <c r="B198" s="2" t="s">
        <v>2637</v>
      </c>
      <c r="C198" s="2" t="s">
        <v>2638</v>
      </c>
      <c r="D198" s="2" t="s">
        <v>2639</v>
      </c>
      <c r="F198" s="3" t="s">
        <v>58</v>
      </c>
      <c r="G198" s="3" t="s">
        <v>59</v>
      </c>
      <c r="H198" s="3" t="s">
        <v>58</v>
      </c>
      <c r="I198" s="3" t="s">
        <v>58</v>
      </c>
      <c r="J198" s="3" t="s">
        <v>60</v>
      </c>
      <c r="L198" s="2" t="s">
        <v>2640</v>
      </c>
      <c r="M198" s="3" t="s">
        <v>552</v>
      </c>
      <c r="O198" s="3" t="s">
        <v>64</v>
      </c>
      <c r="P198" s="3" t="s">
        <v>177</v>
      </c>
      <c r="Q198" s="2" t="s">
        <v>2641</v>
      </c>
      <c r="R198" s="3" t="s">
        <v>66</v>
      </c>
      <c r="S198" s="4">
        <v>9</v>
      </c>
      <c r="T198" s="4">
        <v>9</v>
      </c>
      <c r="U198" s="5" t="s">
        <v>2642</v>
      </c>
      <c r="V198" s="5" t="s">
        <v>2642</v>
      </c>
      <c r="W198" s="5" t="s">
        <v>2643</v>
      </c>
      <c r="X198" s="5" t="s">
        <v>2643</v>
      </c>
      <c r="Y198" s="4">
        <v>113</v>
      </c>
      <c r="Z198" s="4">
        <v>84</v>
      </c>
      <c r="AA198" s="4">
        <v>113</v>
      </c>
      <c r="AB198" s="4">
        <v>1</v>
      </c>
      <c r="AC198" s="4">
        <v>1</v>
      </c>
      <c r="AD198" s="4">
        <v>8</v>
      </c>
      <c r="AE198" s="4">
        <v>10</v>
      </c>
      <c r="AF198" s="4">
        <v>1</v>
      </c>
      <c r="AG198" s="4">
        <v>3</v>
      </c>
      <c r="AH198" s="4">
        <v>0</v>
      </c>
      <c r="AI198" s="4">
        <v>0</v>
      </c>
      <c r="AJ198" s="4">
        <v>3</v>
      </c>
      <c r="AK198" s="4">
        <v>4</v>
      </c>
      <c r="AL198" s="4">
        <v>0</v>
      </c>
      <c r="AM198" s="4">
        <v>0</v>
      </c>
      <c r="AN198" s="4">
        <v>5</v>
      </c>
      <c r="AO198" s="4">
        <v>5</v>
      </c>
      <c r="AP198" s="3" t="s">
        <v>58</v>
      </c>
      <c r="AQ198" s="3" t="s">
        <v>58</v>
      </c>
      <c r="AS198" s="6" t="str">
        <f>HYPERLINK("https://creighton-primo.hosted.exlibrisgroup.com/primo-explore/search?tab=default_tab&amp;search_scope=EVERYTHING&amp;vid=01CRU&amp;lang=en_US&amp;offset=0&amp;query=any,contains,991001456299702656","Catalog Record")</f>
        <v>Catalog Record</v>
      </c>
      <c r="AT198" s="6" t="str">
        <f>HYPERLINK("http://www.worldcat.org/oclc/21526270","WorldCat Record")</f>
        <v>WorldCat Record</v>
      </c>
      <c r="AU198" s="3" t="s">
        <v>2644</v>
      </c>
      <c r="AV198" s="3" t="s">
        <v>2645</v>
      </c>
      <c r="AW198" s="3" t="s">
        <v>2646</v>
      </c>
      <c r="AX198" s="3" t="s">
        <v>2646</v>
      </c>
      <c r="AY198" s="3" t="s">
        <v>2647</v>
      </c>
      <c r="AZ198" s="3" t="s">
        <v>73</v>
      </c>
      <c r="BB198" s="3" t="s">
        <v>2648</v>
      </c>
      <c r="BC198" s="3" t="s">
        <v>2649</v>
      </c>
      <c r="BD198" s="3" t="s">
        <v>2650</v>
      </c>
    </row>
    <row r="199" spans="1:56" ht="45" customHeight="1" x14ac:dyDescent="0.25">
      <c r="A199" s="8" t="s">
        <v>58</v>
      </c>
      <c r="B199" s="2" t="s">
        <v>2651</v>
      </c>
      <c r="C199" s="2" t="s">
        <v>2652</v>
      </c>
      <c r="D199" s="2" t="s">
        <v>2653</v>
      </c>
      <c r="F199" s="3" t="s">
        <v>58</v>
      </c>
      <c r="G199" s="3" t="s">
        <v>59</v>
      </c>
      <c r="H199" s="3" t="s">
        <v>68</v>
      </c>
      <c r="I199" s="3" t="s">
        <v>58</v>
      </c>
      <c r="J199" s="3" t="s">
        <v>60</v>
      </c>
      <c r="K199" s="2" t="s">
        <v>2654</v>
      </c>
      <c r="L199" s="2" t="s">
        <v>2655</v>
      </c>
      <c r="M199" s="3" t="s">
        <v>350</v>
      </c>
      <c r="O199" s="3" t="s">
        <v>64</v>
      </c>
      <c r="P199" s="3" t="s">
        <v>147</v>
      </c>
      <c r="R199" s="3" t="s">
        <v>66</v>
      </c>
      <c r="S199" s="4">
        <v>0</v>
      </c>
      <c r="T199" s="4">
        <v>1</v>
      </c>
      <c r="V199" s="5" t="s">
        <v>2656</v>
      </c>
      <c r="W199" s="5" t="s">
        <v>2657</v>
      </c>
      <c r="X199" s="5" t="s">
        <v>2657</v>
      </c>
      <c r="Y199" s="4">
        <v>513</v>
      </c>
      <c r="Z199" s="4">
        <v>417</v>
      </c>
      <c r="AA199" s="4">
        <v>425</v>
      </c>
      <c r="AB199" s="4">
        <v>5</v>
      </c>
      <c r="AC199" s="4">
        <v>5</v>
      </c>
      <c r="AD199" s="4">
        <v>16</v>
      </c>
      <c r="AE199" s="4">
        <v>16</v>
      </c>
      <c r="AF199" s="4">
        <v>5</v>
      </c>
      <c r="AG199" s="4">
        <v>5</v>
      </c>
      <c r="AH199" s="4">
        <v>4</v>
      </c>
      <c r="AI199" s="4">
        <v>4</v>
      </c>
      <c r="AJ199" s="4">
        <v>8</v>
      </c>
      <c r="AK199" s="4">
        <v>8</v>
      </c>
      <c r="AL199" s="4">
        <v>2</v>
      </c>
      <c r="AM199" s="4">
        <v>2</v>
      </c>
      <c r="AN199" s="4">
        <v>0</v>
      </c>
      <c r="AO199" s="4">
        <v>0</v>
      </c>
      <c r="AP199" s="3" t="s">
        <v>58</v>
      </c>
      <c r="AQ199" s="3" t="s">
        <v>68</v>
      </c>
      <c r="AR199" s="6" t="str">
        <f>HYPERLINK("http://catalog.hathitrust.org/Record/001570843","HathiTrust Record")</f>
        <v>HathiTrust Record</v>
      </c>
      <c r="AS199" s="6" t="str">
        <f>HYPERLINK("https://creighton-primo.hosted.exlibrisgroup.com/primo-explore/search?tab=default_tab&amp;search_scope=EVERYTHING&amp;vid=01CRU&amp;lang=en_US&amp;offset=0&amp;query=any,contains,991001772729702656","Catalog Record")</f>
        <v>Catalog Record</v>
      </c>
      <c r="AT199" s="6" t="str">
        <f>HYPERLINK("http://www.worldcat.org/oclc/584826","WorldCat Record")</f>
        <v>WorldCat Record</v>
      </c>
      <c r="AU199" s="3" t="s">
        <v>2658</v>
      </c>
      <c r="AV199" s="3" t="s">
        <v>2659</v>
      </c>
      <c r="AW199" s="3" t="s">
        <v>2660</v>
      </c>
      <c r="AX199" s="3" t="s">
        <v>2660</v>
      </c>
      <c r="AY199" s="3" t="s">
        <v>2661</v>
      </c>
      <c r="AZ199" s="3" t="s">
        <v>73</v>
      </c>
      <c r="BB199" s="3" t="s">
        <v>2662</v>
      </c>
      <c r="BC199" s="3" t="s">
        <v>2663</v>
      </c>
      <c r="BD199" s="3" t="s">
        <v>2664</v>
      </c>
    </row>
    <row r="200" spans="1:56" ht="45" customHeight="1" x14ac:dyDescent="0.25">
      <c r="A200" s="8" t="s">
        <v>58</v>
      </c>
      <c r="B200" s="2" t="s">
        <v>2665</v>
      </c>
      <c r="C200" s="2" t="s">
        <v>2666</v>
      </c>
      <c r="D200" s="2" t="s">
        <v>2667</v>
      </c>
      <c r="F200" s="3" t="s">
        <v>58</v>
      </c>
      <c r="G200" s="3" t="s">
        <v>59</v>
      </c>
      <c r="H200" s="3" t="s">
        <v>58</v>
      </c>
      <c r="I200" s="3" t="s">
        <v>58</v>
      </c>
      <c r="J200" s="3" t="s">
        <v>60</v>
      </c>
      <c r="K200" s="2" t="s">
        <v>2668</v>
      </c>
      <c r="L200" s="2" t="s">
        <v>2669</v>
      </c>
      <c r="M200" s="3" t="s">
        <v>494</v>
      </c>
      <c r="N200" s="2" t="s">
        <v>451</v>
      </c>
      <c r="O200" s="3" t="s">
        <v>64</v>
      </c>
      <c r="P200" s="3" t="s">
        <v>682</v>
      </c>
      <c r="R200" s="3" t="s">
        <v>66</v>
      </c>
      <c r="S200" s="4">
        <v>10</v>
      </c>
      <c r="T200" s="4">
        <v>10</v>
      </c>
      <c r="U200" s="5" t="s">
        <v>2523</v>
      </c>
      <c r="V200" s="5" t="s">
        <v>2523</v>
      </c>
      <c r="W200" s="5" t="s">
        <v>2002</v>
      </c>
      <c r="X200" s="5" t="s">
        <v>2002</v>
      </c>
      <c r="Y200" s="4">
        <v>166</v>
      </c>
      <c r="Z200" s="4">
        <v>124</v>
      </c>
      <c r="AA200" s="4">
        <v>408</v>
      </c>
      <c r="AB200" s="4">
        <v>3</v>
      </c>
      <c r="AC200" s="4">
        <v>5</v>
      </c>
      <c r="AD200" s="4">
        <v>4</v>
      </c>
      <c r="AE200" s="4">
        <v>18</v>
      </c>
      <c r="AF200" s="4">
        <v>1</v>
      </c>
      <c r="AG200" s="4">
        <v>6</v>
      </c>
      <c r="AH200" s="4">
        <v>0</v>
      </c>
      <c r="AI200" s="4">
        <v>3</v>
      </c>
      <c r="AJ200" s="4">
        <v>1</v>
      </c>
      <c r="AK200" s="4">
        <v>10</v>
      </c>
      <c r="AL200" s="4">
        <v>2</v>
      </c>
      <c r="AM200" s="4">
        <v>3</v>
      </c>
      <c r="AN200" s="4">
        <v>0</v>
      </c>
      <c r="AO200" s="4">
        <v>0</v>
      </c>
      <c r="AP200" s="3" t="s">
        <v>58</v>
      </c>
      <c r="AQ200" s="3" t="s">
        <v>58</v>
      </c>
      <c r="AS200" s="6" t="str">
        <f>HYPERLINK("https://creighton-primo.hosted.exlibrisgroup.com/primo-explore/search?tab=default_tab&amp;search_scope=EVERYTHING&amp;vid=01CRU&amp;lang=en_US&amp;offset=0&amp;query=any,contains,991000556579702656","Catalog Record")</f>
        <v>Catalog Record</v>
      </c>
      <c r="AT200" s="6" t="str">
        <f>HYPERLINK("http://www.worldcat.org/oclc/11563568","WorldCat Record")</f>
        <v>WorldCat Record</v>
      </c>
      <c r="AU200" s="3" t="s">
        <v>2670</v>
      </c>
      <c r="AV200" s="3" t="s">
        <v>2671</v>
      </c>
      <c r="AW200" s="3" t="s">
        <v>2672</v>
      </c>
      <c r="AX200" s="3" t="s">
        <v>2672</v>
      </c>
      <c r="AY200" s="3" t="s">
        <v>2673</v>
      </c>
      <c r="AZ200" s="3" t="s">
        <v>73</v>
      </c>
      <c r="BB200" s="3" t="s">
        <v>2674</v>
      </c>
      <c r="BC200" s="3" t="s">
        <v>2675</v>
      </c>
      <c r="BD200" s="3" t="s">
        <v>2676</v>
      </c>
    </row>
    <row r="201" spans="1:56" ht="45" customHeight="1" x14ac:dyDescent="0.25">
      <c r="A201" s="8" t="s">
        <v>58</v>
      </c>
      <c r="B201" s="2" t="s">
        <v>2677</v>
      </c>
      <c r="C201" s="2" t="s">
        <v>2678</v>
      </c>
      <c r="D201" s="2" t="s">
        <v>2679</v>
      </c>
      <c r="F201" s="3" t="s">
        <v>58</v>
      </c>
      <c r="G201" s="3" t="s">
        <v>59</v>
      </c>
      <c r="H201" s="3" t="s">
        <v>58</v>
      </c>
      <c r="I201" s="3" t="s">
        <v>58</v>
      </c>
      <c r="J201" s="3" t="s">
        <v>60</v>
      </c>
      <c r="K201" s="2" t="s">
        <v>2680</v>
      </c>
      <c r="L201" s="2" t="s">
        <v>2681</v>
      </c>
      <c r="M201" s="3" t="s">
        <v>82</v>
      </c>
      <c r="O201" s="3" t="s">
        <v>64</v>
      </c>
      <c r="P201" s="3" t="s">
        <v>250</v>
      </c>
      <c r="R201" s="3" t="s">
        <v>66</v>
      </c>
      <c r="S201" s="4">
        <v>6</v>
      </c>
      <c r="T201" s="4">
        <v>6</v>
      </c>
      <c r="U201" s="5" t="s">
        <v>2629</v>
      </c>
      <c r="V201" s="5" t="s">
        <v>2629</v>
      </c>
      <c r="W201" s="5" t="s">
        <v>1926</v>
      </c>
      <c r="X201" s="5" t="s">
        <v>1926</v>
      </c>
      <c r="Y201" s="4">
        <v>282</v>
      </c>
      <c r="Z201" s="4">
        <v>186</v>
      </c>
      <c r="AA201" s="4">
        <v>275</v>
      </c>
      <c r="AB201" s="4">
        <v>2</v>
      </c>
      <c r="AC201" s="4">
        <v>2</v>
      </c>
      <c r="AD201" s="4">
        <v>6</v>
      </c>
      <c r="AE201" s="4">
        <v>9</v>
      </c>
      <c r="AF201" s="4">
        <v>1</v>
      </c>
      <c r="AG201" s="4">
        <v>2</v>
      </c>
      <c r="AH201" s="4">
        <v>0</v>
      </c>
      <c r="AI201" s="4">
        <v>1</v>
      </c>
      <c r="AJ201" s="4">
        <v>5</v>
      </c>
      <c r="AK201" s="4">
        <v>7</v>
      </c>
      <c r="AL201" s="4">
        <v>1</v>
      </c>
      <c r="AM201" s="4">
        <v>1</v>
      </c>
      <c r="AN201" s="4">
        <v>0</v>
      </c>
      <c r="AO201" s="4">
        <v>0</v>
      </c>
      <c r="AP201" s="3" t="s">
        <v>58</v>
      </c>
      <c r="AQ201" s="3" t="s">
        <v>68</v>
      </c>
      <c r="AR201" s="6" t="str">
        <f>HYPERLINK("http://catalog.hathitrust.org/Record/000256516","HathiTrust Record")</f>
        <v>HathiTrust Record</v>
      </c>
      <c r="AS201" s="6" t="str">
        <f>HYPERLINK("https://creighton-primo.hosted.exlibrisgroup.com/primo-explore/search?tab=default_tab&amp;search_scope=EVERYTHING&amp;vid=01CRU&amp;lang=en_US&amp;offset=0&amp;query=any,contains,991004660569702656","Catalog Record")</f>
        <v>Catalog Record</v>
      </c>
      <c r="AT201" s="6" t="str">
        <f>HYPERLINK("http://www.worldcat.org/oclc/4496651","WorldCat Record")</f>
        <v>WorldCat Record</v>
      </c>
      <c r="AU201" s="3" t="s">
        <v>2682</v>
      </c>
      <c r="AV201" s="3" t="s">
        <v>2683</v>
      </c>
      <c r="AW201" s="3" t="s">
        <v>2684</v>
      </c>
      <c r="AX201" s="3" t="s">
        <v>2684</v>
      </c>
      <c r="AY201" s="3" t="s">
        <v>2685</v>
      </c>
      <c r="AZ201" s="3" t="s">
        <v>73</v>
      </c>
      <c r="BB201" s="3" t="s">
        <v>2686</v>
      </c>
      <c r="BC201" s="3" t="s">
        <v>2687</v>
      </c>
      <c r="BD201" s="3" t="s">
        <v>2688</v>
      </c>
    </row>
    <row r="202" spans="1:56" ht="45" customHeight="1" x14ac:dyDescent="0.25">
      <c r="A202" s="8" t="s">
        <v>58</v>
      </c>
      <c r="B202" s="2" t="s">
        <v>2689</v>
      </c>
      <c r="C202" s="2" t="s">
        <v>2690</v>
      </c>
      <c r="D202" s="2" t="s">
        <v>2691</v>
      </c>
      <c r="F202" s="3" t="s">
        <v>58</v>
      </c>
      <c r="G202" s="3" t="s">
        <v>59</v>
      </c>
      <c r="H202" s="3" t="s">
        <v>58</v>
      </c>
      <c r="I202" s="3" t="s">
        <v>58</v>
      </c>
      <c r="J202" s="3" t="s">
        <v>60</v>
      </c>
      <c r="K202" s="2" t="s">
        <v>2692</v>
      </c>
      <c r="L202" s="2" t="s">
        <v>2693</v>
      </c>
      <c r="M202" s="3" t="s">
        <v>82</v>
      </c>
      <c r="O202" s="3" t="s">
        <v>64</v>
      </c>
      <c r="P202" s="3" t="s">
        <v>177</v>
      </c>
      <c r="R202" s="3" t="s">
        <v>66</v>
      </c>
      <c r="S202" s="4">
        <v>1</v>
      </c>
      <c r="T202" s="4">
        <v>1</v>
      </c>
      <c r="U202" s="5" t="s">
        <v>2694</v>
      </c>
      <c r="V202" s="5" t="s">
        <v>2694</v>
      </c>
      <c r="W202" s="5" t="s">
        <v>1926</v>
      </c>
      <c r="X202" s="5" t="s">
        <v>1926</v>
      </c>
      <c r="Y202" s="4">
        <v>373</v>
      </c>
      <c r="Z202" s="4">
        <v>317</v>
      </c>
      <c r="AA202" s="4">
        <v>330</v>
      </c>
      <c r="AB202" s="4">
        <v>3</v>
      </c>
      <c r="AC202" s="4">
        <v>3</v>
      </c>
      <c r="AD202" s="4">
        <v>7</v>
      </c>
      <c r="AE202" s="4">
        <v>7</v>
      </c>
      <c r="AF202" s="4">
        <v>3</v>
      </c>
      <c r="AG202" s="4">
        <v>3</v>
      </c>
      <c r="AH202" s="4">
        <v>1</v>
      </c>
      <c r="AI202" s="4">
        <v>1</v>
      </c>
      <c r="AJ202" s="4">
        <v>4</v>
      </c>
      <c r="AK202" s="4">
        <v>4</v>
      </c>
      <c r="AL202" s="4">
        <v>1</v>
      </c>
      <c r="AM202" s="4">
        <v>1</v>
      </c>
      <c r="AN202" s="4">
        <v>0</v>
      </c>
      <c r="AO202" s="4">
        <v>0</v>
      </c>
      <c r="AP202" s="3" t="s">
        <v>58</v>
      </c>
      <c r="AQ202" s="3" t="s">
        <v>68</v>
      </c>
      <c r="AR202" s="6" t="str">
        <f>HYPERLINK("http://catalog.hathitrust.org/Record/006220670","HathiTrust Record")</f>
        <v>HathiTrust Record</v>
      </c>
      <c r="AS202" s="6" t="str">
        <f>HYPERLINK("https://creighton-primo.hosted.exlibrisgroup.com/primo-explore/search?tab=default_tab&amp;search_scope=EVERYTHING&amp;vid=01CRU&amp;lang=en_US&amp;offset=0&amp;query=any,contains,991004666469702656","Catalog Record")</f>
        <v>Catalog Record</v>
      </c>
      <c r="AT202" s="6" t="str">
        <f>HYPERLINK("http://www.worldcat.org/oclc/4504401","WorldCat Record")</f>
        <v>WorldCat Record</v>
      </c>
      <c r="AU202" s="3" t="s">
        <v>2695</v>
      </c>
      <c r="AV202" s="3" t="s">
        <v>2696</v>
      </c>
      <c r="AW202" s="3" t="s">
        <v>2697</v>
      </c>
      <c r="AX202" s="3" t="s">
        <v>2697</v>
      </c>
      <c r="AY202" s="3" t="s">
        <v>2698</v>
      </c>
      <c r="AZ202" s="3" t="s">
        <v>73</v>
      </c>
      <c r="BB202" s="3" t="s">
        <v>2699</v>
      </c>
      <c r="BC202" s="3" t="s">
        <v>2700</v>
      </c>
      <c r="BD202" s="3" t="s">
        <v>2701</v>
      </c>
    </row>
    <row r="203" spans="1:56" ht="45" customHeight="1" x14ac:dyDescent="0.25">
      <c r="A203" s="8" t="s">
        <v>58</v>
      </c>
      <c r="B203" s="2" t="s">
        <v>2702</v>
      </c>
      <c r="C203" s="2" t="s">
        <v>2703</v>
      </c>
      <c r="D203" s="2" t="s">
        <v>2704</v>
      </c>
      <c r="F203" s="3" t="s">
        <v>58</v>
      </c>
      <c r="G203" s="3" t="s">
        <v>59</v>
      </c>
      <c r="H203" s="3" t="s">
        <v>58</v>
      </c>
      <c r="I203" s="3" t="s">
        <v>58</v>
      </c>
      <c r="J203" s="3" t="s">
        <v>60</v>
      </c>
      <c r="L203" s="2" t="s">
        <v>2705</v>
      </c>
      <c r="M203" s="3" t="s">
        <v>1013</v>
      </c>
      <c r="N203" s="2" t="s">
        <v>451</v>
      </c>
      <c r="O203" s="3" t="s">
        <v>64</v>
      </c>
      <c r="P203" s="3" t="s">
        <v>177</v>
      </c>
      <c r="R203" s="3" t="s">
        <v>66</v>
      </c>
      <c r="S203" s="4">
        <v>6</v>
      </c>
      <c r="T203" s="4">
        <v>6</v>
      </c>
      <c r="U203" s="5" t="s">
        <v>2706</v>
      </c>
      <c r="V203" s="5" t="s">
        <v>2706</v>
      </c>
      <c r="W203" s="5" t="s">
        <v>2002</v>
      </c>
      <c r="X203" s="5" t="s">
        <v>2002</v>
      </c>
      <c r="Y203" s="4">
        <v>419</v>
      </c>
      <c r="Z203" s="4">
        <v>322</v>
      </c>
      <c r="AA203" s="4">
        <v>651</v>
      </c>
      <c r="AB203" s="4">
        <v>2</v>
      </c>
      <c r="AC203" s="4">
        <v>6</v>
      </c>
      <c r="AD203" s="4">
        <v>10</v>
      </c>
      <c r="AE203" s="4">
        <v>25</v>
      </c>
      <c r="AF203" s="4">
        <v>5</v>
      </c>
      <c r="AG203" s="4">
        <v>9</v>
      </c>
      <c r="AH203" s="4">
        <v>1</v>
      </c>
      <c r="AI203" s="4">
        <v>4</v>
      </c>
      <c r="AJ203" s="4">
        <v>5</v>
      </c>
      <c r="AK203" s="4">
        <v>13</v>
      </c>
      <c r="AL203" s="4">
        <v>1</v>
      </c>
      <c r="AM203" s="4">
        <v>4</v>
      </c>
      <c r="AN203" s="4">
        <v>0</v>
      </c>
      <c r="AO203" s="4">
        <v>0</v>
      </c>
      <c r="AP203" s="3" t="s">
        <v>58</v>
      </c>
      <c r="AQ203" s="3" t="s">
        <v>68</v>
      </c>
      <c r="AR203" s="6" t="str">
        <f>HYPERLINK("http://catalog.hathitrust.org/Record/000634881","HathiTrust Record")</f>
        <v>HathiTrust Record</v>
      </c>
      <c r="AS203" s="6" t="str">
        <f>HYPERLINK("https://creighton-primo.hosted.exlibrisgroup.com/primo-explore/search?tab=default_tab&amp;search_scope=EVERYTHING&amp;vid=01CRU&amp;lang=en_US&amp;offset=0&amp;query=any,contains,991000848389702656","Catalog Record")</f>
        <v>Catalog Record</v>
      </c>
      <c r="AT203" s="6" t="str">
        <f>HYPERLINK("http://www.worldcat.org/oclc/13580551","WorldCat Record")</f>
        <v>WorldCat Record</v>
      </c>
      <c r="AU203" s="3" t="s">
        <v>2707</v>
      </c>
      <c r="AV203" s="3" t="s">
        <v>2708</v>
      </c>
      <c r="AW203" s="3" t="s">
        <v>2709</v>
      </c>
      <c r="AX203" s="3" t="s">
        <v>2709</v>
      </c>
      <c r="AY203" s="3" t="s">
        <v>2710</v>
      </c>
      <c r="AZ203" s="3" t="s">
        <v>73</v>
      </c>
      <c r="BB203" s="3" t="s">
        <v>2711</v>
      </c>
      <c r="BC203" s="3" t="s">
        <v>2712</v>
      </c>
      <c r="BD203" s="3" t="s">
        <v>2713</v>
      </c>
    </row>
    <row r="204" spans="1:56" ht="45" customHeight="1" x14ac:dyDescent="0.25">
      <c r="A204" s="8" t="s">
        <v>58</v>
      </c>
      <c r="B204" s="2" t="s">
        <v>2714</v>
      </c>
      <c r="C204" s="2" t="s">
        <v>2715</v>
      </c>
      <c r="D204" s="2" t="s">
        <v>2716</v>
      </c>
      <c r="F204" s="3" t="s">
        <v>58</v>
      </c>
      <c r="G204" s="3" t="s">
        <v>59</v>
      </c>
      <c r="H204" s="3" t="s">
        <v>58</v>
      </c>
      <c r="I204" s="3" t="s">
        <v>58</v>
      </c>
      <c r="J204" s="3" t="s">
        <v>60</v>
      </c>
      <c r="L204" s="2" t="s">
        <v>2717</v>
      </c>
      <c r="M204" s="3" t="s">
        <v>378</v>
      </c>
      <c r="O204" s="3" t="s">
        <v>64</v>
      </c>
      <c r="P204" s="3" t="s">
        <v>2718</v>
      </c>
      <c r="R204" s="3" t="s">
        <v>66</v>
      </c>
      <c r="S204" s="4">
        <v>2</v>
      </c>
      <c r="T204" s="4">
        <v>2</v>
      </c>
      <c r="U204" s="5" t="s">
        <v>2345</v>
      </c>
      <c r="V204" s="5" t="s">
        <v>2345</v>
      </c>
      <c r="W204" s="5" t="s">
        <v>1926</v>
      </c>
      <c r="X204" s="5" t="s">
        <v>1926</v>
      </c>
      <c r="Y204" s="4">
        <v>199</v>
      </c>
      <c r="Z204" s="4">
        <v>156</v>
      </c>
      <c r="AA204" s="4">
        <v>158</v>
      </c>
      <c r="AB204" s="4">
        <v>2</v>
      </c>
      <c r="AC204" s="4">
        <v>2</v>
      </c>
      <c r="AD204" s="4">
        <v>4</v>
      </c>
      <c r="AE204" s="4">
        <v>4</v>
      </c>
      <c r="AF204" s="4">
        <v>0</v>
      </c>
      <c r="AG204" s="4">
        <v>0</v>
      </c>
      <c r="AH204" s="4">
        <v>1</v>
      </c>
      <c r="AI204" s="4">
        <v>1</v>
      </c>
      <c r="AJ204" s="4">
        <v>3</v>
      </c>
      <c r="AK204" s="4">
        <v>3</v>
      </c>
      <c r="AL204" s="4">
        <v>1</v>
      </c>
      <c r="AM204" s="4">
        <v>1</v>
      </c>
      <c r="AN204" s="4">
        <v>0</v>
      </c>
      <c r="AO204" s="4">
        <v>0</v>
      </c>
      <c r="AP204" s="3" t="s">
        <v>58</v>
      </c>
      <c r="AQ204" s="3" t="s">
        <v>68</v>
      </c>
      <c r="AR204" s="6" t="str">
        <f>HYPERLINK("http://catalog.hathitrust.org/Record/000596961","HathiTrust Record")</f>
        <v>HathiTrust Record</v>
      </c>
      <c r="AS204" s="6" t="str">
        <f>HYPERLINK("https://creighton-primo.hosted.exlibrisgroup.com/primo-explore/search?tab=default_tab&amp;search_scope=EVERYTHING&amp;vid=01CRU&amp;lang=en_US&amp;offset=0&amp;query=any,contains,991000348459702656","Catalog Record")</f>
        <v>Catalog Record</v>
      </c>
      <c r="AT204" s="6" t="str">
        <f>HYPERLINK("http://www.worldcat.org/oclc/10299426","WorldCat Record")</f>
        <v>WorldCat Record</v>
      </c>
      <c r="AU204" s="3" t="s">
        <v>2719</v>
      </c>
      <c r="AV204" s="3" t="s">
        <v>2720</v>
      </c>
      <c r="AW204" s="3" t="s">
        <v>2721</v>
      </c>
      <c r="AX204" s="3" t="s">
        <v>2721</v>
      </c>
      <c r="AY204" s="3" t="s">
        <v>2722</v>
      </c>
      <c r="AZ204" s="3" t="s">
        <v>73</v>
      </c>
      <c r="BB204" s="3" t="s">
        <v>2723</v>
      </c>
      <c r="BC204" s="3" t="s">
        <v>2724</v>
      </c>
      <c r="BD204" s="3" t="s">
        <v>2725</v>
      </c>
    </row>
    <row r="205" spans="1:56" ht="45" customHeight="1" x14ac:dyDescent="0.25">
      <c r="A205" s="8" t="s">
        <v>58</v>
      </c>
      <c r="B205" s="2" t="s">
        <v>2726</v>
      </c>
      <c r="C205" s="2" t="s">
        <v>2727</v>
      </c>
      <c r="D205" s="2" t="s">
        <v>2728</v>
      </c>
      <c r="F205" s="3" t="s">
        <v>58</v>
      </c>
      <c r="G205" s="3" t="s">
        <v>59</v>
      </c>
      <c r="H205" s="3" t="s">
        <v>58</v>
      </c>
      <c r="I205" s="3" t="s">
        <v>58</v>
      </c>
      <c r="J205" s="3" t="s">
        <v>60</v>
      </c>
      <c r="L205" s="2" t="s">
        <v>2318</v>
      </c>
      <c r="M205" s="3" t="s">
        <v>480</v>
      </c>
      <c r="O205" s="3" t="s">
        <v>64</v>
      </c>
      <c r="P205" s="3" t="s">
        <v>99</v>
      </c>
      <c r="R205" s="3" t="s">
        <v>66</v>
      </c>
      <c r="S205" s="4">
        <v>10</v>
      </c>
      <c r="T205" s="4">
        <v>10</v>
      </c>
      <c r="U205" s="5" t="s">
        <v>2729</v>
      </c>
      <c r="V205" s="5" t="s">
        <v>2729</v>
      </c>
      <c r="W205" s="5" t="s">
        <v>2730</v>
      </c>
      <c r="X205" s="5" t="s">
        <v>2730</v>
      </c>
      <c r="Y205" s="4">
        <v>355</v>
      </c>
      <c r="Z205" s="4">
        <v>312</v>
      </c>
      <c r="AA205" s="4">
        <v>316</v>
      </c>
      <c r="AB205" s="4">
        <v>6</v>
      </c>
      <c r="AC205" s="4">
        <v>6</v>
      </c>
      <c r="AD205" s="4">
        <v>19</v>
      </c>
      <c r="AE205" s="4">
        <v>19</v>
      </c>
      <c r="AF205" s="4">
        <v>2</v>
      </c>
      <c r="AG205" s="4">
        <v>2</v>
      </c>
      <c r="AH205" s="4">
        <v>1</v>
      </c>
      <c r="AI205" s="4">
        <v>1</v>
      </c>
      <c r="AJ205" s="4">
        <v>5</v>
      </c>
      <c r="AK205" s="4">
        <v>5</v>
      </c>
      <c r="AL205" s="4">
        <v>4</v>
      </c>
      <c r="AM205" s="4">
        <v>4</v>
      </c>
      <c r="AN205" s="4">
        <v>9</v>
      </c>
      <c r="AO205" s="4">
        <v>9</v>
      </c>
      <c r="AP205" s="3" t="s">
        <v>58</v>
      </c>
      <c r="AQ205" s="3" t="s">
        <v>68</v>
      </c>
      <c r="AR205" s="6" t="str">
        <f>HYPERLINK("http://catalog.hathitrust.org/Record/000100796","HathiTrust Record")</f>
        <v>HathiTrust Record</v>
      </c>
      <c r="AS205" s="6" t="str">
        <f>HYPERLINK("https://creighton-primo.hosted.exlibrisgroup.com/primo-explore/search?tab=default_tab&amp;search_scope=EVERYTHING&amp;vid=01CRU&amp;lang=en_US&amp;offset=0&amp;query=any,contains,991005160009702656","Catalog Record")</f>
        <v>Catalog Record</v>
      </c>
      <c r="AT205" s="6" t="str">
        <f>HYPERLINK("http://www.worldcat.org/oclc/7774470","WorldCat Record")</f>
        <v>WorldCat Record</v>
      </c>
      <c r="AU205" s="3" t="s">
        <v>2731</v>
      </c>
      <c r="AV205" s="3" t="s">
        <v>2732</v>
      </c>
      <c r="AW205" s="3" t="s">
        <v>2733</v>
      </c>
      <c r="AX205" s="3" t="s">
        <v>2733</v>
      </c>
      <c r="AY205" s="3" t="s">
        <v>2734</v>
      </c>
      <c r="AZ205" s="3" t="s">
        <v>73</v>
      </c>
      <c r="BB205" s="3" t="s">
        <v>2735</v>
      </c>
      <c r="BC205" s="3" t="s">
        <v>2736</v>
      </c>
      <c r="BD205" s="3" t="s">
        <v>2737</v>
      </c>
    </row>
    <row r="206" spans="1:56" ht="45" customHeight="1" x14ac:dyDescent="0.25">
      <c r="A206" s="8" t="s">
        <v>58</v>
      </c>
      <c r="B206" s="2" t="s">
        <v>2738</v>
      </c>
      <c r="C206" s="2" t="s">
        <v>2739</v>
      </c>
      <c r="D206" s="2" t="s">
        <v>2740</v>
      </c>
      <c r="F206" s="3" t="s">
        <v>58</v>
      </c>
      <c r="G206" s="3" t="s">
        <v>59</v>
      </c>
      <c r="H206" s="3" t="s">
        <v>58</v>
      </c>
      <c r="I206" s="3" t="s">
        <v>68</v>
      </c>
      <c r="J206" s="3" t="s">
        <v>60</v>
      </c>
      <c r="K206" s="2" t="s">
        <v>2741</v>
      </c>
      <c r="L206" s="2" t="s">
        <v>2742</v>
      </c>
      <c r="M206" s="3" t="s">
        <v>2743</v>
      </c>
      <c r="O206" s="3" t="s">
        <v>64</v>
      </c>
      <c r="P206" s="3" t="s">
        <v>177</v>
      </c>
      <c r="Q206" s="2" t="s">
        <v>2744</v>
      </c>
      <c r="R206" s="3" t="s">
        <v>66</v>
      </c>
      <c r="S206" s="4">
        <v>5</v>
      </c>
      <c r="T206" s="4">
        <v>5</v>
      </c>
      <c r="U206" s="5" t="s">
        <v>2745</v>
      </c>
      <c r="V206" s="5" t="s">
        <v>2745</v>
      </c>
      <c r="W206" s="5" t="s">
        <v>2746</v>
      </c>
      <c r="X206" s="5" t="s">
        <v>2746</v>
      </c>
      <c r="Y206" s="4">
        <v>677</v>
      </c>
      <c r="Z206" s="4">
        <v>573</v>
      </c>
      <c r="AA206" s="4">
        <v>609</v>
      </c>
      <c r="AB206" s="4">
        <v>6</v>
      </c>
      <c r="AC206" s="4">
        <v>7</v>
      </c>
      <c r="AD206" s="4">
        <v>23</v>
      </c>
      <c r="AE206" s="4">
        <v>25</v>
      </c>
      <c r="AF206" s="4">
        <v>8</v>
      </c>
      <c r="AG206" s="4">
        <v>8</v>
      </c>
      <c r="AH206" s="4">
        <v>4</v>
      </c>
      <c r="AI206" s="4">
        <v>5</v>
      </c>
      <c r="AJ206" s="4">
        <v>13</v>
      </c>
      <c r="AK206" s="4">
        <v>15</v>
      </c>
      <c r="AL206" s="4">
        <v>5</v>
      </c>
      <c r="AM206" s="4">
        <v>5</v>
      </c>
      <c r="AN206" s="4">
        <v>0</v>
      </c>
      <c r="AO206" s="4">
        <v>0</v>
      </c>
      <c r="AP206" s="3" t="s">
        <v>58</v>
      </c>
      <c r="AQ206" s="3" t="s">
        <v>68</v>
      </c>
      <c r="AR206" s="6" t="str">
        <f>HYPERLINK("http://catalog.hathitrust.org/Record/001570879","HathiTrust Record")</f>
        <v>HathiTrust Record</v>
      </c>
      <c r="AS206" s="6" t="str">
        <f>HYPERLINK("https://creighton-primo.hosted.exlibrisgroup.com/primo-explore/search?tab=default_tab&amp;search_scope=EVERYTHING&amp;vid=01CRU&amp;lang=en_US&amp;offset=0&amp;query=any,contains,991005265359702656","Catalog Record")</f>
        <v>Catalog Record</v>
      </c>
      <c r="AT206" s="6" t="str">
        <f>HYPERLINK("http://www.worldcat.org/oclc/711096","WorldCat Record")</f>
        <v>WorldCat Record</v>
      </c>
      <c r="AU206" s="3" t="s">
        <v>2747</v>
      </c>
      <c r="AV206" s="3" t="s">
        <v>2748</v>
      </c>
      <c r="AW206" s="3" t="s">
        <v>2749</v>
      </c>
      <c r="AX206" s="3" t="s">
        <v>2749</v>
      </c>
      <c r="AY206" s="3" t="s">
        <v>2750</v>
      </c>
      <c r="AZ206" s="3" t="s">
        <v>73</v>
      </c>
      <c r="BC206" s="3" t="s">
        <v>2751</v>
      </c>
      <c r="BD206" s="3" t="s">
        <v>2752</v>
      </c>
    </row>
    <row r="207" spans="1:56" ht="45" customHeight="1" x14ac:dyDescent="0.25">
      <c r="A207" s="8" t="s">
        <v>58</v>
      </c>
      <c r="B207" s="2" t="s">
        <v>2753</v>
      </c>
      <c r="C207" s="2" t="s">
        <v>2754</v>
      </c>
      <c r="D207" s="2" t="s">
        <v>2755</v>
      </c>
      <c r="F207" s="3" t="s">
        <v>58</v>
      </c>
      <c r="G207" s="3" t="s">
        <v>59</v>
      </c>
      <c r="H207" s="3" t="s">
        <v>58</v>
      </c>
      <c r="I207" s="3" t="s">
        <v>58</v>
      </c>
      <c r="J207" s="3" t="s">
        <v>60</v>
      </c>
      <c r="K207" s="2" t="s">
        <v>2756</v>
      </c>
      <c r="L207" s="2" t="s">
        <v>2757</v>
      </c>
      <c r="M207" s="3" t="s">
        <v>219</v>
      </c>
      <c r="O207" s="3" t="s">
        <v>64</v>
      </c>
      <c r="P207" s="3" t="s">
        <v>250</v>
      </c>
      <c r="Q207" s="2" t="s">
        <v>2758</v>
      </c>
      <c r="R207" s="3" t="s">
        <v>66</v>
      </c>
      <c r="S207" s="4">
        <v>3</v>
      </c>
      <c r="T207" s="4">
        <v>3</v>
      </c>
      <c r="U207" s="5" t="s">
        <v>2759</v>
      </c>
      <c r="V207" s="5" t="s">
        <v>2759</v>
      </c>
      <c r="W207" s="5" t="s">
        <v>2760</v>
      </c>
      <c r="X207" s="5" t="s">
        <v>2760</v>
      </c>
      <c r="Y207" s="4">
        <v>146</v>
      </c>
      <c r="Z207" s="4">
        <v>116</v>
      </c>
      <c r="AA207" s="4">
        <v>143</v>
      </c>
      <c r="AB207" s="4">
        <v>2</v>
      </c>
      <c r="AC207" s="4">
        <v>2</v>
      </c>
      <c r="AD207" s="4">
        <v>7</v>
      </c>
      <c r="AE207" s="4">
        <v>7</v>
      </c>
      <c r="AF207" s="4">
        <v>1</v>
      </c>
      <c r="AG207" s="4">
        <v>1</v>
      </c>
      <c r="AH207" s="4">
        <v>2</v>
      </c>
      <c r="AI207" s="4">
        <v>2</v>
      </c>
      <c r="AJ207" s="4">
        <v>6</v>
      </c>
      <c r="AK207" s="4">
        <v>6</v>
      </c>
      <c r="AL207" s="4">
        <v>1</v>
      </c>
      <c r="AM207" s="4">
        <v>1</v>
      </c>
      <c r="AN207" s="4">
        <v>0</v>
      </c>
      <c r="AO207" s="4">
        <v>0</v>
      </c>
      <c r="AP207" s="3" t="s">
        <v>58</v>
      </c>
      <c r="AQ207" s="3" t="s">
        <v>58</v>
      </c>
      <c r="AS207" s="6" t="str">
        <f>HYPERLINK("https://creighton-primo.hosted.exlibrisgroup.com/primo-explore/search?tab=default_tab&amp;search_scope=EVERYTHING&amp;vid=01CRU&amp;lang=en_US&amp;offset=0&amp;query=any,contains,991001870369702656","Catalog Record")</f>
        <v>Catalog Record</v>
      </c>
      <c r="AT207" s="6" t="str">
        <f>HYPERLINK("http://www.worldcat.org/oclc/23584395","WorldCat Record")</f>
        <v>WorldCat Record</v>
      </c>
      <c r="AU207" s="3" t="s">
        <v>2761</v>
      </c>
      <c r="AV207" s="3" t="s">
        <v>2762</v>
      </c>
      <c r="AW207" s="3" t="s">
        <v>2763</v>
      </c>
      <c r="AX207" s="3" t="s">
        <v>2763</v>
      </c>
      <c r="AY207" s="3" t="s">
        <v>2764</v>
      </c>
      <c r="AZ207" s="3" t="s">
        <v>73</v>
      </c>
      <c r="BB207" s="3" t="s">
        <v>2765</v>
      </c>
      <c r="BC207" s="3" t="s">
        <v>2766</v>
      </c>
      <c r="BD207" s="3" t="s">
        <v>2767</v>
      </c>
    </row>
    <row r="208" spans="1:56" ht="45" customHeight="1" x14ac:dyDescent="0.25">
      <c r="A208" s="8" t="s">
        <v>58</v>
      </c>
      <c r="B208" s="2" t="s">
        <v>2768</v>
      </c>
      <c r="C208" s="2" t="s">
        <v>2769</v>
      </c>
      <c r="D208" s="2" t="s">
        <v>2770</v>
      </c>
      <c r="F208" s="3" t="s">
        <v>58</v>
      </c>
      <c r="G208" s="3" t="s">
        <v>59</v>
      </c>
      <c r="H208" s="3" t="s">
        <v>58</v>
      </c>
      <c r="I208" s="3" t="s">
        <v>58</v>
      </c>
      <c r="J208" s="3" t="s">
        <v>60</v>
      </c>
      <c r="K208" s="2" t="s">
        <v>2771</v>
      </c>
      <c r="L208" s="2" t="s">
        <v>2772</v>
      </c>
      <c r="M208" s="3" t="s">
        <v>393</v>
      </c>
      <c r="N208" s="2" t="s">
        <v>875</v>
      </c>
      <c r="O208" s="3" t="s">
        <v>64</v>
      </c>
      <c r="P208" s="3" t="s">
        <v>177</v>
      </c>
      <c r="Q208" s="2" t="s">
        <v>2773</v>
      </c>
      <c r="R208" s="3" t="s">
        <v>66</v>
      </c>
      <c r="S208" s="4">
        <v>8</v>
      </c>
      <c r="T208" s="4">
        <v>8</v>
      </c>
      <c r="U208" s="5" t="s">
        <v>2774</v>
      </c>
      <c r="V208" s="5" t="s">
        <v>2774</v>
      </c>
      <c r="W208" s="5" t="s">
        <v>1926</v>
      </c>
      <c r="X208" s="5" t="s">
        <v>1926</v>
      </c>
      <c r="Y208" s="4">
        <v>397</v>
      </c>
      <c r="Z208" s="4">
        <v>289</v>
      </c>
      <c r="AA208" s="4">
        <v>644</v>
      </c>
      <c r="AB208" s="4">
        <v>3</v>
      </c>
      <c r="AC208" s="4">
        <v>3</v>
      </c>
      <c r="AD208" s="4">
        <v>9</v>
      </c>
      <c r="AE208" s="4">
        <v>21</v>
      </c>
      <c r="AF208" s="4">
        <v>3</v>
      </c>
      <c r="AG208" s="4">
        <v>10</v>
      </c>
      <c r="AH208" s="4">
        <v>2</v>
      </c>
      <c r="AI208" s="4">
        <v>4</v>
      </c>
      <c r="AJ208" s="4">
        <v>5</v>
      </c>
      <c r="AK208" s="4">
        <v>12</v>
      </c>
      <c r="AL208" s="4">
        <v>1</v>
      </c>
      <c r="AM208" s="4">
        <v>1</v>
      </c>
      <c r="AN208" s="4">
        <v>0</v>
      </c>
      <c r="AO208" s="4">
        <v>0</v>
      </c>
      <c r="AP208" s="3" t="s">
        <v>58</v>
      </c>
      <c r="AQ208" s="3" t="s">
        <v>68</v>
      </c>
      <c r="AR208" s="6" t="str">
        <f>HYPERLINK("http://catalog.hathitrust.org/Record/007473239","HathiTrust Record")</f>
        <v>HathiTrust Record</v>
      </c>
      <c r="AS208" s="6" t="str">
        <f>HYPERLINK("https://creighton-primo.hosted.exlibrisgroup.com/primo-explore/search?tab=default_tab&amp;search_scope=EVERYTHING&amp;vid=01CRU&amp;lang=en_US&amp;offset=0&amp;query=any,contains,991004766879702656","Catalog Record")</f>
        <v>Catalog Record</v>
      </c>
      <c r="AT208" s="6" t="str">
        <f>HYPERLINK("http://www.worldcat.org/oclc/5029762","WorldCat Record")</f>
        <v>WorldCat Record</v>
      </c>
      <c r="AU208" s="3" t="s">
        <v>2775</v>
      </c>
      <c r="AV208" s="3" t="s">
        <v>2776</v>
      </c>
      <c r="AW208" s="3" t="s">
        <v>2777</v>
      </c>
      <c r="AX208" s="3" t="s">
        <v>2777</v>
      </c>
      <c r="AY208" s="3" t="s">
        <v>2778</v>
      </c>
      <c r="AZ208" s="3" t="s">
        <v>73</v>
      </c>
      <c r="BB208" s="3" t="s">
        <v>2779</v>
      </c>
      <c r="BC208" s="3" t="s">
        <v>2780</v>
      </c>
      <c r="BD208" s="3" t="s">
        <v>2781</v>
      </c>
    </row>
    <row r="209" spans="1:56" ht="45" customHeight="1" x14ac:dyDescent="0.25">
      <c r="A209" s="8" t="s">
        <v>58</v>
      </c>
      <c r="B209" s="2" t="s">
        <v>2782</v>
      </c>
      <c r="C209" s="2" t="s">
        <v>2783</v>
      </c>
      <c r="D209" s="2" t="s">
        <v>2784</v>
      </c>
      <c r="F209" s="3" t="s">
        <v>58</v>
      </c>
      <c r="G209" s="3" t="s">
        <v>59</v>
      </c>
      <c r="H209" s="3" t="s">
        <v>58</v>
      </c>
      <c r="I209" s="3" t="s">
        <v>58</v>
      </c>
      <c r="J209" s="3" t="s">
        <v>60</v>
      </c>
      <c r="K209" s="2" t="s">
        <v>2785</v>
      </c>
      <c r="L209" s="2" t="s">
        <v>2786</v>
      </c>
      <c r="M209" s="3" t="s">
        <v>234</v>
      </c>
      <c r="O209" s="3" t="s">
        <v>64</v>
      </c>
      <c r="P209" s="3" t="s">
        <v>114</v>
      </c>
      <c r="R209" s="3" t="s">
        <v>66</v>
      </c>
      <c r="S209" s="4">
        <v>1</v>
      </c>
      <c r="T209" s="4">
        <v>1</v>
      </c>
      <c r="U209" s="5" t="s">
        <v>2787</v>
      </c>
      <c r="V209" s="5" t="s">
        <v>2787</v>
      </c>
      <c r="W209" s="5" t="s">
        <v>1926</v>
      </c>
      <c r="X209" s="5" t="s">
        <v>1926</v>
      </c>
      <c r="Y209" s="4">
        <v>155</v>
      </c>
      <c r="Z209" s="4">
        <v>46</v>
      </c>
      <c r="AA209" s="4">
        <v>52</v>
      </c>
      <c r="AB209" s="4">
        <v>1</v>
      </c>
      <c r="AC209" s="4">
        <v>1</v>
      </c>
      <c r="AD209" s="4">
        <v>3</v>
      </c>
      <c r="AE209" s="4">
        <v>3</v>
      </c>
      <c r="AF209" s="4">
        <v>0</v>
      </c>
      <c r="AG209" s="4">
        <v>0</v>
      </c>
      <c r="AH209" s="4">
        <v>0</v>
      </c>
      <c r="AI209" s="4">
        <v>0</v>
      </c>
      <c r="AJ209" s="4">
        <v>3</v>
      </c>
      <c r="AK209" s="4">
        <v>3</v>
      </c>
      <c r="AL209" s="4">
        <v>0</v>
      </c>
      <c r="AM209" s="4">
        <v>0</v>
      </c>
      <c r="AN209" s="4">
        <v>0</v>
      </c>
      <c r="AO209" s="4">
        <v>0</v>
      </c>
      <c r="AP209" s="3" t="s">
        <v>58</v>
      </c>
      <c r="AQ209" s="3" t="s">
        <v>58</v>
      </c>
      <c r="AS209" s="6" t="str">
        <f>HYPERLINK("https://creighton-primo.hosted.exlibrisgroup.com/primo-explore/search?tab=default_tab&amp;search_scope=EVERYTHING&amp;vid=01CRU&amp;lang=en_US&amp;offset=0&amp;query=any,contains,991004298529702656","Catalog Record")</f>
        <v>Catalog Record</v>
      </c>
      <c r="AT209" s="6" t="str">
        <f>HYPERLINK("http://www.worldcat.org/oclc/2966821","WorldCat Record")</f>
        <v>WorldCat Record</v>
      </c>
      <c r="AU209" s="3" t="s">
        <v>2788</v>
      </c>
      <c r="AV209" s="3" t="s">
        <v>2789</v>
      </c>
      <c r="AW209" s="3" t="s">
        <v>2790</v>
      </c>
      <c r="AX209" s="3" t="s">
        <v>2790</v>
      </c>
      <c r="AY209" s="3" t="s">
        <v>2791</v>
      </c>
      <c r="AZ209" s="3" t="s">
        <v>73</v>
      </c>
      <c r="BB209" s="3" t="s">
        <v>2792</v>
      </c>
      <c r="BC209" s="3" t="s">
        <v>2793</v>
      </c>
      <c r="BD209" s="3" t="s">
        <v>2794</v>
      </c>
    </row>
    <row r="210" spans="1:56" ht="45" customHeight="1" x14ac:dyDescent="0.25">
      <c r="A210" s="8" t="s">
        <v>58</v>
      </c>
      <c r="B210" s="2" t="s">
        <v>2795</v>
      </c>
      <c r="C210" s="2" t="s">
        <v>2796</v>
      </c>
      <c r="D210" s="2" t="s">
        <v>2797</v>
      </c>
      <c r="F210" s="3" t="s">
        <v>58</v>
      </c>
      <c r="G210" s="3" t="s">
        <v>59</v>
      </c>
      <c r="H210" s="3" t="s">
        <v>58</v>
      </c>
      <c r="I210" s="3" t="s">
        <v>58</v>
      </c>
      <c r="J210" s="3" t="s">
        <v>60</v>
      </c>
      <c r="K210" s="2" t="s">
        <v>2798</v>
      </c>
      <c r="L210" s="2" t="s">
        <v>2799</v>
      </c>
      <c r="M210" s="3" t="s">
        <v>2800</v>
      </c>
      <c r="O210" s="3" t="s">
        <v>64</v>
      </c>
      <c r="P210" s="3" t="s">
        <v>177</v>
      </c>
      <c r="R210" s="3" t="s">
        <v>66</v>
      </c>
      <c r="S210" s="4">
        <v>5</v>
      </c>
      <c r="T210" s="4">
        <v>5</v>
      </c>
      <c r="U210" s="5" t="s">
        <v>84</v>
      </c>
      <c r="V210" s="5" t="s">
        <v>84</v>
      </c>
      <c r="W210" s="5" t="s">
        <v>236</v>
      </c>
      <c r="X210" s="5" t="s">
        <v>236</v>
      </c>
      <c r="Y210" s="4">
        <v>762</v>
      </c>
      <c r="Z210" s="4">
        <v>635</v>
      </c>
      <c r="AA210" s="4">
        <v>646</v>
      </c>
      <c r="AB210" s="4">
        <v>6</v>
      </c>
      <c r="AC210" s="4">
        <v>6</v>
      </c>
      <c r="AD210" s="4">
        <v>26</v>
      </c>
      <c r="AE210" s="4">
        <v>26</v>
      </c>
      <c r="AF210" s="4">
        <v>9</v>
      </c>
      <c r="AG210" s="4">
        <v>9</v>
      </c>
      <c r="AH210" s="4">
        <v>5</v>
      </c>
      <c r="AI210" s="4">
        <v>5</v>
      </c>
      <c r="AJ210" s="4">
        <v>15</v>
      </c>
      <c r="AK210" s="4">
        <v>15</v>
      </c>
      <c r="AL210" s="4">
        <v>4</v>
      </c>
      <c r="AM210" s="4">
        <v>4</v>
      </c>
      <c r="AN210" s="4">
        <v>0</v>
      </c>
      <c r="AO210" s="4">
        <v>0</v>
      </c>
      <c r="AP210" s="3" t="s">
        <v>58</v>
      </c>
      <c r="AQ210" s="3" t="s">
        <v>68</v>
      </c>
      <c r="AR210" s="6" t="str">
        <f>HYPERLINK("http://catalog.hathitrust.org/Record/000004390","HathiTrust Record")</f>
        <v>HathiTrust Record</v>
      </c>
      <c r="AS210" s="6" t="str">
        <f>HYPERLINK("https://creighton-primo.hosted.exlibrisgroup.com/primo-explore/search?tab=default_tab&amp;search_scope=EVERYTHING&amp;vid=01CRU&amp;lang=en_US&amp;offset=0&amp;query=any,contains,991005257629702656","Catalog Record")</f>
        <v>Catalog Record</v>
      </c>
      <c r="AT210" s="6" t="str">
        <f>HYPERLINK("http://www.worldcat.org/oclc/307279","WorldCat Record")</f>
        <v>WorldCat Record</v>
      </c>
      <c r="AU210" s="3" t="s">
        <v>2801</v>
      </c>
      <c r="AV210" s="3" t="s">
        <v>2802</v>
      </c>
      <c r="AW210" s="3" t="s">
        <v>2803</v>
      </c>
      <c r="AX210" s="3" t="s">
        <v>2803</v>
      </c>
      <c r="AY210" s="3" t="s">
        <v>2804</v>
      </c>
      <c r="AZ210" s="3" t="s">
        <v>73</v>
      </c>
      <c r="BC210" s="3" t="s">
        <v>2805</v>
      </c>
      <c r="BD210" s="3" t="s">
        <v>2806</v>
      </c>
    </row>
    <row r="211" spans="1:56" ht="45" customHeight="1" x14ac:dyDescent="0.25">
      <c r="A211" s="8" t="s">
        <v>58</v>
      </c>
      <c r="B211" s="2" t="s">
        <v>2807</v>
      </c>
      <c r="C211" s="2" t="s">
        <v>2808</v>
      </c>
      <c r="D211" s="2" t="s">
        <v>2809</v>
      </c>
      <c r="F211" s="3" t="s">
        <v>58</v>
      </c>
      <c r="G211" s="3" t="s">
        <v>59</v>
      </c>
      <c r="H211" s="3" t="s">
        <v>58</v>
      </c>
      <c r="I211" s="3" t="s">
        <v>68</v>
      </c>
      <c r="J211" s="3" t="s">
        <v>60</v>
      </c>
      <c r="L211" s="2" t="s">
        <v>2810</v>
      </c>
      <c r="M211" s="3" t="s">
        <v>552</v>
      </c>
      <c r="O211" s="3" t="s">
        <v>64</v>
      </c>
      <c r="P211" s="3" t="s">
        <v>177</v>
      </c>
      <c r="R211" s="3" t="s">
        <v>66</v>
      </c>
      <c r="S211" s="4">
        <v>12</v>
      </c>
      <c r="T211" s="4">
        <v>12</v>
      </c>
      <c r="U211" s="5" t="s">
        <v>2811</v>
      </c>
      <c r="V211" s="5" t="s">
        <v>2811</v>
      </c>
      <c r="W211" s="5" t="s">
        <v>2812</v>
      </c>
      <c r="X211" s="5" t="s">
        <v>2812</v>
      </c>
      <c r="Y211" s="4">
        <v>423</v>
      </c>
      <c r="Z211" s="4">
        <v>353</v>
      </c>
      <c r="AA211" s="4">
        <v>794</v>
      </c>
      <c r="AB211" s="4">
        <v>4</v>
      </c>
      <c r="AC211" s="4">
        <v>5</v>
      </c>
      <c r="AD211" s="4">
        <v>13</v>
      </c>
      <c r="AE211" s="4">
        <v>30</v>
      </c>
      <c r="AF211" s="4">
        <v>2</v>
      </c>
      <c r="AG211" s="4">
        <v>16</v>
      </c>
      <c r="AH211" s="4">
        <v>3</v>
      </c>
      <c r="AI211" s="4">
        <v>7</v>
      </c>
      <c r="AJ211" s="4">
        <v>7</v>
      </c>
      <c r="AK211" s="4">
        <v>14</v>
      </c>
      <c r="AL211" s="4">
        <v>3</v>
      </c>
      <c r="AM211" s="4">
        <v>3</v>
      </c>
      <c r="AN211" s="4">
        <v>0</v>
      </c>
      <c r="AO211" s="4">
        <v>0</v>
      </c>
      <c r="AP211" s="3" t="s">
        <v>58</v>
      </c>
      <c r="AQ211" s="3" t="s">
        <v>58</v>
      </c>
      <c r="AS211" s="6" t="str">
        <f>HYPERLINK("https://creighton-primo.hosted.exlibrisgroup.com/primo-explore/search?tab=default_tab&amp;search_scope=EVERYTHING&amp;vid=01CRU&amp;lang=en_US&amp;offset=0&amp;query=any,contains,991001343509702656","Catalog Record")</f>
        <v>Catalog Record</v>
      </c>
      <c r="AT211" s="6" t="str">
        <f>HYPERLINK("http://www.worldcat.org/oclc/18411120","WorldCat Record")</f>
        <v>WorldCat Record</v>
      </c>
      <c r="AU211" s="3" t="s">
        <v>2813</v>
      </c>
      <c r="AV211" s="3" t="s">
        <v>2814</v>
      </c>
      <c r="AW211" s="3" t="s">
        <v>2815</v>
      </c>
      <c r="AX211" s="3" t="s">
        <v>2815</v>
      </c>
      <c r="AY211" s="3" t="s">
        <v>2816</v>
      </c>
      <c r="AZ211" s="3" t="s">
        <v>73</v>
      </c>
      <c r="BB211" s="3" t="s">
        <v>2817</v>
      </c>
      <c r="BC211" s="3" t="s">
        <v>2818</v>
      </c>
      <c r="BD211" s="3" t="s">
        <v>2819</v>
      </c>
    </row>
    <row r="212" spans="1:56" ht="45" customHeight="1" x14ac:dyDescent="0.25">
      <c r="A212" s="8" t="s">
        <v>58</v>
      </c>
      <c r="B212" s="2" t="s">
        <v>2820</v>
      </c>
      <c r="C212" s="2" t="s">
        <v>2821</v>
      </c>
      <c r="D212" s="2" t="s">
        <v>2822</v>
      </c>
      <c r="F212" s="3" t="s">
        <v>58</v>
      </c>
      <c r="G212" s="3" t="s">
        <v>59</v>
      </c>
      <c r="H212" s="3" t="s">
        <v>58</v>
      </c>
      <c r="I212" s="3" t="s">
        <v>58</v>
      </c>
      <c r="J212" s="3" t="s">
        <v>60</v>
      </c>
      <c r="K212" s="2" t="s">
        <v>2823</v>
      </c>
      <c r="L212" s="2" t="s">
        <v>2824</v>
      </c>
      <c r="M212" s="3" t="s">
        <v>365</v>
      </c>
      <c r="O212" s="3" t="s">
        <v>64</v>
      </c>
      <c r="P212" s="3" t="s">
        <v>2825</v>
      </c>
      <c r="R212" s="3" t="s">
        <v>66</v>
      </c>
      <c r="S212" s="4">
        <v>4</v>
      </c>
      <c r="T212" s="4">
        <v>4</v>
      </c>
      <c r="U212" s="5" t="s">
        <v>2826</v>
      </c>
      <c r="V212" s="5" t="s">
        <v>2826</v>
      </c>
      <c r="W212" s="5" t="s">
        <v>2827</v>
      </c>
      <c r="X212" s="5" t="s">
        <v>2827</v>
      </c>
      <c r="Y212" s="4">
        <v>144</v>
      </c>
      <c r="Z212" s="4">
        <v>128</v>
      </c>
      <c r="AA212" s="4">
        <v>268</v>
      </c>
      <c r="AB212" s="4">
        <v>3</v>
      </c>
      <c r="AC212" s="4">
        <v>4</v>
      </c>
      <c r="AD212" s="4">
        <v>2</v>
      </c>
      <c r="AE212" s="4">
        <v>7</v>
      </c>
      <c r="AF212" s="4">
        <v>2</v>
      </c>
      <c r="AG212" s="4">
        <v>4</v>
      </c>
      <c r="AH212" s="4">
        <v>1</v>
      </c>
      <c r="AI212" s="4">
        <v>1</v>
      </c>
      <c r="AJ212" s="4">
        <v>1</v>
      </c>
      <c r="AK212" s="4">
        <v>3</v>
      </c>
      <c r="AL212" s="4">
        <v>0</v>
      </c>
      <c r="AM212" s="4">
        <v>1</v>
      </c>
      <c r="AN212" s="4">
        <v>0</v>
      </c>
      <c r="AO212" s="4">
        <v>0</v>
      </c>
      <c r="AP212" s="3" t="s">
        <v>58</v>
      </c>
      <c r="AQ212" s="3" t="s">
        <v>68</v>
      </c>
      <c r="AR212" s="6" t="str">
        <f>HYPERLINK("http://catalog.hathitrust.org/Record/004514295","HathiTrust Record")</f>
        <v>HathiTrust Record</v>
      </c>
      <c r="AS212" s="6" t="str">
        <f>HYPERLINK("https://creighton-primo.hosted.exlibrisgroup.com/primo-explore/search?tab=default_tab&amp;search_scope=EVERYTHING&amp;vid=01CRU&amp;lang=en_US&amp;offset=0&amp;query=any,contains,991003435719702656","Catalog Record")</f>
        <v>Catalog Record</v>
      </c>
      <c r="AT212" s="6" t="str">
        <f>HYPERLINK("http://www.worldcat.org/oclc/971210","WorldCat Record")</f>
        <v>WorldCat Record</v>
      </c>
      <c r="AU212" s="3" t="s">
        <v>2828</v>
      </c>
      <c r="AV212" s="3" t="s">
        <v>2829</v>
      </c>
      <c r="AW212" s="3" t="s">
        <v>2830</v>
      </c>
      <c r="AX212" s="3" t="s">
        <v>2830</v>
      </c>
      <c r="AY212" s="3" t="s">
        <v>2831</v>
      </c>
      <c r="AZ212" s="3" t="s">
        <v>73</v>
      </c>
      <c r="BC212" s="3" t="s">
        <v>2832</v>
      </c>
      <c r="BD212" s="3" t="s">
        <v>2833</v>
      </c>
    </row>
    <row r="213" spans="1:56" ht="45" customHeight="1" x14ac:dyDescent="0.25">
      <c r="A213" s="8" t="s">
        <v>58</v>
      </c>
      <c r="B213" s="2" t="s">
        <v>2834</v>
      </c>
      <c r="C213" s="2" t="s">
        <v>2835</v>
      </c>
      <c r="D213" s="2" t="s">
        <v>2836</v>
      </c>
      <c r="F213" s="3" t="s">
        <v>58</v>
      </c>
      <c r="G213" s="3" t="s">
        <v>59</v>
      </c>
      <c r="H213" s="3" t="s">
        <v>58</v>
      </c>
      <c r="I213" s="3" t="s">
        <v>58</v>
      </c>
      <c r="J213" s="3" t="s">
        <v>60</v>
      </c>
      <c r="K213" s="2" t="s">
        <v>2837</v>
      </c>
      <c r="L213" s="2" t="s">
        <v>2838</v>
      </c>
      <c r="M213" s="3" t="s">
        <v>98</v>
      </c>
      <c r="O213" s="3" t="s">
        <v>64</v>
      </c>
      <c r="P213" s="3" t="s">
        <v>177</v>
      </c>
      <c r="R213" s="3" t="s">
        <v>66</v>
      </c>
      <c r="S213" s="4">
        <v>1</v>
      </c>
      <c r="T213" s="4">
        <v>1</v>
      </c>
      <c r="U213" s="5" t="s">
        <v>2839</v>
      </c>
      <c r="V213" s="5" t="s">
        <v>2839</v>
      </c>
      <c r="W213" s="5" t="s">
        <v>1926</v>
      </c>
      <c r="X213" s="5" t="s">
        <v>1926</v>
      </c>
      <c r="Y213" s="4">
        <v>446</v>
      </c>
      <c r="Z213" s="4">
        <v>397</v>
      </c>
      <c r="AA213" s="4">
        <v>475</v>
      </c>
      <c r="AB213" s="4">
        <v>4</v>
      </c>
      <c r="AC213" s="4">
        <v>4</v>
      </c>
      <c r="AD213" s="4">
        <v>18</v>
      </c>
      <c r="AE213" s="4">
        <v>23</v>
      </c>
      <c r="AF213" s="4">
        <v>7</v>
      </c>
      <c r="AG213" s="4">
        <v>9</v>
      </c>
      <c r="AH213" s="4">
        <v>4</v>
      </c>
      <c r="AI213" s="4">
        <v>6</v>
      </c>
      <c r="AJ213" s="4">
        <v>9</v>
      </c>
      <c r="AK213" s="4">
        <v>12</v>
      </c>
      <c r="AL213" s="4">
        <v>3</v>
      </c>
      <c r="AM213" s="4">
        <v>3</v>
      </c>
      <c r="AN213" s="4">
        <v>0</v>
      </c>
      <c r="AO213" s="4">
        <v>0</v>
      </c>
      <c r="AP213" s="3" t="s">
        <v>58</v>
      </c>
      <c r="AQ213" s="3" t="s">
        <v>58</v>
      </c>
      <c r="AS213" s="6" t="str">
        <f>HYPERLINK("https://creighton-primo.hosted.exlibrisgroup.com/primo-explore/search?tab=default_tab&amp;search_scope=EVERYTHING&amp;vid=01CRU&amp;lang=en_US&amp;offset=0&amp;query=any,contains,991001237449702656","Catalog Record")</f>
        <v>Catalog Record</v>
      </c>
      <c r="AT213" s="6" t="str">
        <f>HYPERLINK("http://www.worldcat.org/oclc/206787","WorldCat Record")</f>
        <v>WorldCat Record</v>
      </c>
      <c r="AU213" s="3" t="s">
        <v>2840</v>
      </c>
      <c r="AV213" s="3" t="s">
        <v>2841</v>
      </c>
      <c r="AW213" s="3" t="s">
        <v>2842</v>
      </c>
      <c r="AX213" s="3" t="s">
        <v>2842</v>
      </c>
      <c r="AY213" s="3" t="s">
        <v>2843</v>
      </c>
      <c r="AZ213" s="3" t="s">
        <v>73</v>
      </c>
      <c r="BB213" s="3" t="s">
        <v>2844</v>
      </c>
      <c r="BC213" s="3" t="s">
        <v>2845</v>
      </c>
      <c r="BD213" s="3" t="s">
        <v>2846</v>
      </c>
    </row>
    <row r="214" spans="1:56" ht="45" customHeight="1" x14ac:dyDescent="0.25">
      <c r="A214" s="8" t="s">
        <v>58</v>
      </c>
      <c r="B214" s="2" t="s">
        <v>2847</v>
      </c>
      <c r="C214" s="2" t="s">
        <v>2848</v>
      </c>
      <c r="D214" s="2" t="s">
        <v>2849</v>
      </c>
      <c r="F214" s="3" t="s">
        <v>58</v>
      </c>
      <c r="G214" s="3" t="s">
        <v>59</v>
      </c>
      <c r="H214" s="3" t="s">
        <v>58</v>
      </c>
      <c r="I214" s="3" t="s">
        <v>58</v>
      </c>
      <c r="J214" s="3" t="s">
        <v>60</v>
      </c>
      <c r="K214" s="2" t="s">
        <v>2342</v>
      </c>
      <c r="L214" s="2" t="s">
        <v>2850</v>
      </c>
      <c r="M214" s="3" t="s">
        <v>2851</v>
      </c>
      <c r="O214" s="3" t="s">
        <v>64</v>
      </c>
      <c r="P214" s="3" t="s">
        <v>177</v>
      </c>
      <c r="R214" s="3" t="s">
        <v>66</v>
      </c>
      <c r="S214" s="4">
        <v>1</v>
      </c>
      <c r="T214" s="4">
        <v>1</v>
      </c>
      <c r="U214" s="5" t="s">
        <v>2852</v>
      </c>
      <c r="V214" s="5" t="s">
        <v>2852</v>
      </c>
      <c r="W214" s="5" t="s">
        <v>2853</v>
      </c>
      <c r="X214" s="5" t="s">
        <v>2853</v>
      </c>
      <c r="Y214" s="4">
        <v>566</v>
      </c>
      <c r="Z214" s="4">
        <v>502</v>
      </c>
      <c r="AA214" s="4">
        <v>508</v>
      </c>
      <c r="AB214" s="4">
        <v>3</v>
      </c>
      <c r="AC214" s="4">
        <v>3</v>
      </c>
      <c r="AD214" s="4">
        <v>16</v>
      </c>
      <c r="AE214" s="4">
        <v>16</v>
      </c>
      <c r="AF214" s="4">
        <v>4</v>
      </c>
      <c r="AG214" s="4">
        <v>4</v>
      </c>
      <c r="AH214" s="4">
        <v>4</v>
      </c>
      <c r="AI214" s="4">
        <v>4</v>
      </c>
      <c r="AJ214" s="4">
        <v>10</v>
      </c>
      <c r="AK214" s="4">
        <v>10</v>
      </c>
      <c r="AL214" s="4">
        <v>2</v>
      </c>
      <c r="AM214" s="4">
        <v>2</v>
      </c>
      <c r="AN214" s="4">
        <v>0</v>
      </c>
      <c r="AO214" s="4">
        <v>0</v>
      </c>
      <c r="AP214" s="3" t="s">
        <v>58</v>
      </c>
      <c r="AQ214" s="3" t="s">
        <v>58</v>
      </c>
      <c r="AR214" s="6" t="str">
        <f>HYPERLINK("http://catalog.hathitrust.org/Record/001570766","HathiTrust Record")</f>
        <v>HathiTrust Record</v>
      </c>
      <c r="AS214" s="6" t="str">
        <f>HYPERLINK("https://creighton-primo.hosted.exlibrisgroup.com/primo-explore/search?tab=default_tab&amp;search_scope=EVERYTHING&amp;vid=01CRU&amp;lang=en_US&amp;offset=0&amp;query=any,contains,991000948899702656","Catalog Record")</f>
        <v>Catalog Record</v>
      </c>
      <c r="AT214" s="6" t="str">
        <f>HYPERLINK("http://www.worldcat.org/oclc/14605633","WorldCat Record")</f>
        <v>WorldCat Record</v>
      </c>
      <c r="AU214" s="3" t="s">
        <v>2854</v>
      </c>
      <c r="AV214" s="3" t="s">
        <v>2855</v>
      </c>
      <c r="AW214" s="3" t="s">
        <v>2856</v>
      </c>
      <c r="AX214" s="3" t="s">
        <v>2856</v>
      </c>
      <c r="AY214" s="3" t="s">
        <v>2857</v>
      </c>
      <c r="AZ214" s="3" t="s">
        <v>73</v>
      </c>
      <c r="BC214" s="3" t="s">
        <v>2858</v>
      </c>
      <c r="BD214" s="3" t="s">
        <v>2859</v>
      </c>
    </row>
    <row r="215" spans="1:56" ht="45" customHeight="1" x14ac:dyDescent="0.25">
      <c r="A215" s="8" t="s">
        <v>58</v>
      </c>
      <c r="B215" s="2" t="s">
        <v>2860</v>
      </c>
      <c r="C215" s="2" t="s">
        <v>2861</v>
      </c>
      <c r="D215" s="2" t="s">
        <v>2862</v>
      </c>
      <c r="F215" s="3" t="s">
        <v>58</v>
      </c>
      <c r="G215" s="3" t="s">
        <v>59</v>
      </c>
      <c r="H215" s="3" t="s">
        <v>58</v>
      </c>
      <c r="I215" s="3" t="s">
        <v>58</v>
      </c>
      <c r="J215" s="3" t="s">
        <v>60</v>
      </c>
      <c r="L215" s="2" t="s">
        <v>707</v>
      </c>
      <c r="M215" s="3" t="s">
        <v>681</v>
      </c>
      <c r="N215" s="2" t="s">
        <v>567</v>
      </c>
      <c r="O215" s="3" t="s">
        <v>64</v>
      </c>
      <c r="P215" s="3" t="s">
        <v>191</v>
      </c>
      <c r="R215" s="3" t="s">
        <v>66</v>
      </c>
      <c r="S215" s="4">
        <v>2</v>
      </c>
      <c r="T215" s="4">
        <v>2</v>
      </c>
      <c r="U215" s="5" t="s">
        <v>2863</v>
      </c>
      <c r="V215" s="5" t="s">
        <v>2863</v>
      </c>
      <c r="W215" s="5" t="s">
        <v>252</v>
      </c>
      <c r="X215" s="5" t="s">
        <v>252</v>
      </c>
      <c r="Y215" s="4">
        <v>185</v>
      </c>
      <c r="Z215" s="4">
        <v>163</v>
      </c>
      <c r="AA215" s="4">
        <v>176</v>
      </c>
      <c r="AB215" s="4">
        <v>4</v>
      </c>
      <c r="AC215" s="4">
        <v>4</v>
      </c>
      <c r="AD215" s="4">
        <v>9</v>
      </c>
      <c r="AE215" s="4">
        <v>9</v>
      </c>
      <c r="AF215" s="4">
        <v>3</v>
      </c>
      <c r="AG215" s="4">
        <v>3</v>
      </c>
      <c r="AH215" s="4">
        <v>1</v>
      </c>
      <c r="AI215" s="4">
        <v>1</v>
      </c>
      <c r="AJ215" s="4">
        <v>5</v>
      </c>
      <c r="AK215" s="4">
        <v>5</v>
      </c>
      <c r="AL215" s="4">
        <v>2</v>
      </c>
      <c r="AM215" s="4">
        <v>2</v>
      </c>
      <c r="AN215" s="4">
        <v>0</v>
      </c>
      <c r="AO215" s="4">
        <v>0</v>
      </c>
      <c r="AP215" s="3" t="s">
        <v>58</v>
      </c>
      <c r="AQ215" s="3" t="s">
        <v>68</v>
      </c>
      <c r="AR215" s="6" t="str">
        <f>HYPERLINK("http://catalog.hathitrust.org/Record/000109803","HathiTrust Record")</f>
        <v>HathiTrust Record</v>
      </c>
      <c r="AS215" s="6" t="str">
        <f>HYPERLINK("https://creighton-primo.hosted.exlibrisgroup.com/primo-explore/search?tab=default_tab&amp;search_scope=EVERYTHING&amp;vid=01CRU&amp;lang=en_US&amp;offset=0&amp;query=any,contains,991000104939702656","Catalog Record")</f>
        <v>Catalog Record</v>
      </c>
      <c r="AT215" s="6" t="str">
        <f>HYPERLINK("http://www.worldcat.org/oclc/8975084","WorldCat Record")</f>
        <v>WorldCat Record</v>
      </c>
      <c r="AU215" s="3" t="s">
        <v>2864</v>
      </c>
      <c r="AV215" s="3" t="s">
        <v>2865</v>
      </c>
      <c r="AW215" s="3" t="s">
        <v>2866</v>
      </c>
      <c r="AX215" s="3" t="s">
        <v>2866</v>
      </c>
      <c r="AY215" s="3" t="s">
        <v>2867</v>
      </c>
      <c r="AZ215" s="3" t="s">
        <v>73</v>
      </c>
      <c r="BB215" s="3" t="s">
        <v>2868</v>
      </c>
      <c r="BC215" s="3" t="s">
        <v>2869</v>
      </c>
      <c r="BD215" s="3" t="s">
        <v>2870</v>
      </c>
    </row>
    <row r="216" spans="1:56" ht="45" customHeight="1" x14ac:dyDescent="0.25">
      <c r="A216" s="8" t="s">
        <v>58</v>
      </c>
      <c r="B216" s="2" t="s">
        <v>2871</v>
      </c>
      <c r="C216" s="2" t="s">
        <v>2872</v>
      </c>
      <c r="D216" s="2" t="s">
        <v>2873</v>
      </c>
      <c r="E216" s="3" t="s">
        <v>645</v>
      </c>
      <c r="F216" s="3" t="s">
        <v>58</v>
      </c>
      <c r="G216" s="3" t="s">
        <v>59</v>
      </c>
      <c r="H216" s="3" t="s">
        <v>58</v>
      </c>
      <c r="I216" s="3" t="s">
        <v>58</v>
      </c>
      <c r="J216" s="3" t="s">
        <v>60</v>
      </c>
      <c r="L216" s="2" t="s">
        <v>2874</v>
      </c>
      <c r="M216" s="3" t="s">
        <v>234</v>
      </c>
      <c r="O216" s="3" t="s">
        <v>64</v>
      </c>
      <c r="P216" s="3" t="s">
        <v>2875</v>
      </c>
      <c r="R216" s="3" t="s">
        <v>66</v>
      </c>
      <c r="S216" s="4">
        <v>2</v>
      </c>
      <c r="T216" s="4">
        <v>2</v>
      </c>
      <c r="U216" s="5" t="s">
        <v>985</v>
      </c>
      <c r="V216" s="5" t="s">
        <v>985</v>
      </c>
      <c r="W216" s="5" t="s">
        <v>2876</v>
      </c>
      <c r="X216" s="5" t="s">
        <v>2876</v>
      </c>
      <c r="Y216" s="4">
        <v>370</v>
      </c>
      <c r="Z216" s="4">
        <v>314</v>
      </c>
      <c r="AA216" s="4">
        <v>316</v>
      </c>
      <c r="AB216" s="4">
        <v>5</v>
      </c>
      <c r="AC216" s="4">
        <v>5</v>
      </c>
      <c r="AD216" s="4">
        <v>9</v>
      </c>
      <c r="AE216" s="4">
        <v>9</v>
      </c>
      <c r="AF216" s="4">
        <v>3</v>
      </c>
      <c r="AG216" s="4">
        <v>3</v>
      </c>
      <c r="AH216" s="4">
        <v>1</v>
      </c>
      <c r="AI216" s="4">
        <v>1</v>
      </c>
      <c r="AJ216" s="4">
        <v>6</v>
      </c>
      <c r="AK216" s="4">
        <v>6</v>
      </c>
      <c r="AL216" s="4">
        <v>2</v>
      </c>
      <c r="AM216" s="4">
        <v>2</v>
      </c>
      <c r="AN216" s="4">
        <v>0</v>
      </c>
      <c r="AO216" s="4">
        <v>0</v>
      </c>
      <c r="AP216" s="3" t="s">
        <v>58</v>
      </c>
      <c r="AQ216" s="3" t="s">
        <v>68</v>
      </c>
      <c r="AR216" s="6" t="str">
        <f>HYPERLINK("http://catalog.hathitrust.org/Record/000228031","HathiTrust Record")</f>
        <v>HathiTrust Record</v>
      </c>
      <c r="AS216" s="6" t="str">
        <f>HYPERLINK("https://creighton-primo.hosted.exlibrisgroup.com/primo-explore/search?tab=default_tab&amp;search_scope=EVERYTHING&amp;vid=01CRU&amp;lang=en_US&amp;offset=0&amp;query=any,contains,991005253369702656","Catalog Record")</f>
        <v>Catalog Record</v>
      </c>
      <c r="AT216" s="6" t="str">
        <f>HYPERLINK("http://www.worldcat.org/oclc/2072400","WorldCat Record")</f>
        <v>WorldCat Record</v>
      </c>
      <c r="AU216" s="3" t="s">
        <v>2877</v>
      </c>
      <c r="AV216" s="3" t="s">
        <v>2878</v>
      </c>
      <c r="AW216" s="3" t="s">
        <v>2879</v>
      </c>
      <c r="AX216" s="3" t="s">
        <v>2879</v>
      </c>
      <c r="AY216" s="3" t="s">
        <v>2880</v>
      </c>
      <c r="AZ216" s="3" t="s">
        <v>73</v>
      </c>
      <c r="BB216" s="3" t="s">
        <v>2881</v>
      </c>
      <c r="BC216" s="3" t="s">
        <v>2882</v>
      </c>
      <c r="BD216" s="3" t="s">
        <v>2883</v>
      </c>
    </row>
    <row r="217" spans="1:56" ht="45" customHeight="1" x14ac:dyDescent="0.25">
      <c r="A217" s="8" t="s">
        <v>58</v>
      </c>
      <c r="B217" s="2" t="s">
        <v>2884</v>
      </c>
      <c r="C217" s="2" t="s">
        <v>2885</v>
      </c>
      <c r="D217" s="2" t="s">
        <v>2886</v>
      </c>
      <c r="F217" s="3" t="s">
        <v>58</v>
      </c>
      <c r="G217" s="3" t="s">
        <v>59</v>
      </c>
      <c r="H217" s="3" t="s">
        <v>58</v>
      </c>
      <c r="I217" s="3" t="s">
        <v>58</v>
      </c>
      <c r="J217" s="3" t="s">
        <v>60</v>
      </c>
      <c r="L217" s="2" t="s">
        <v>2887</v>
      </c>
      <c r="M217" s="3" t="s">
        <v>378</v>
      </c>
      <c r="O217" s="3" t="s">
        <v>64</v>
      </c>
      <c r="P217" s="3" t="s">
        <v>65</v>
      </c>
      <c r="Q217" s="2" t="s">
        <v>2888</v>
      </c>
      <c r="R217" s="3" t="s">
        <v>66</v>
      </c>
      <c r="S217" s="4">
        <v>5</v>
      </c>
      <c r="T217" s="4">
        <v>5</v>
      </c>
      <c r="U217" s="5" t="s">
        <v>2889</v>
      </c>
      <c r="V217" s="5" t="s">
        <v>2889</v>
      </c>
      <c r="W217" s="5" t="s">
        <v>1926</v>
      </c>
      <c r="X217" s="5" t="s">
        <v>1926</v>
      </c>
      <c r="Y217" s="4">
        <v>415</v>
      </c>
      <c r="Z217" s="4">
        <v>347</v>
      </c>
      <c r="AA217" s="4">
        <v>351</v>
      </c>
      <c r="AB217" s="4">
        <v>2</v>
      </c>
      <c r="AC217" s="4">
        <v>2</v>
      </c>
      <c r="AD217" s="4">
        <v>13</v>
      </c>
      <c r="AE217" s="4">
        <v>13</v>
      </c>
      <c r="AF217" s="4">
        <v>4</v>
      </c>
      <c r="AG217" s="4">
        <v>4</v>
      </c>
      <c r="AH217" s="4">
        <v>3</v>
      </c>
      <c r="AI217" s="4">
        <v>3</v>
      </c>
      <c r="AJ217" s="4">
        <v>10</v>
      </c>
      <c r="AK217" s="4">
        <v>10</v>
      </c>
      <c r="AL217" s="4">
        <v>1</v>
      </c>
      <c r="AM217" s="4">
        <v>1</v>
      </c>
      <c r="AN217" s="4">
        <v>0</v>
      </c>
      <c r="AO217" s="4">
        <v>0</v>
      </c>
      <c r="AP217" s="3" t="s">
        <v>58</v>
      </c>
      <c r="AQ217" s="3" t="s">
        <v>68</v>
      </c>
      <c r="AR217" s="6" t="str">
        <f>HYPERLINK("http://catalog.hathitrust.org/Record/000206200","HathiTrust Record")</f>
        <v>HathiTrust Record</v>
      </c>
      <c r="AS217" s="6" t="str">
        <f>HYPERLINK("https://creighton-primo.hosted.exlibrisgroup.com/primo-explore/search?tab=default_tab&amp;search_scope=EVERYTHING&amp;vid=01CRU&amp;lang=en_US&amp;offset=0&amp;query=any,contains,991000468329702656","Catalog Record")</f>
        <v>Catalog Record</v>
      </c>
      <c r="AT217" s="6" t="str">
        <f>HYPERLINK("http://www.worldcat.org/oclc/10994399","WorldCat Record")</f>
        <v>WorldCat Record</v>
      </c>
      <c r="AU217" s="3" t="s">
        <v>2890</v>
      </c>
      <c r="AV217" s="3" t="s">
        <v>2891</v>
      </c>
      <c r="AW217" s="3" t="s">
        <v>2892</v>
      </c>
      <c r="AX217" s="3" t="s">
        <v>2892</v>
      </c>
      <c r="AY217" s="3" t="s">
        <v>2893</v>
      </c>
      <c r="AZ217" s="3" t="s">
        <v>73</v>
      </c>
      <c r="BB217" s="3" t="s">
        <v>2894</v>
      </c>
      <c r="BC217" s="3" t="s">
        <v>2895</v>
      </c>
      <c r="BD217" s="3" t="s">
        <v>2896</v>
      </c>
    </row>
    <row r="218" spans="1:56" ht="45" customHeight="1" x14ac:dyDescent="0.25">
      <c r="A218" s="8" t="s">
        <v>58</v>
      </c>
      <c r="B218" s="2" t="s">
        <v>2897</v>
      </c>
      <c r="C218" s="2" t="s">
        <v>2898</v>
      </c>
      <c r="D218" s="2" t="s">
        <v>2899</v>
      </c>
      <c r="F218" s="3" t="s">
        <v>58</v>
      </c>
      <c r="G218" s="3" t="s">
        <v>59</v>
      </c>
      <c r="H218" s="3" t="s">
        <v>58</v>
      </c>
      <c r="I218" s="3" t="s">
        <v>58</v>
      </c>
      <c r="J218" s="3" t="s">
        <v>60</v>
      </c>
      <c r="L218" s="2" t="s">
        <v>2900</v>
      </c>
      <c r="M218" s="3" t="s">
        <v>480</v>
      </c>
      <c r="O218" s="3" t="s">
        <v>64</v>
      </c>
      <c r="P218" s="3" t="s">
        <v>177</v>
      </c>
      <c r="R218" s="3" t="s">
        <v>66</v>
      </c>
      <c r="S218" s="4">
        <v>3</v>
      </c>
      <c r="T218" s="4">
        <v>3</v>
      </c>
      <c r="U218" s="5" t="s">
        <v>2901</v>
      </c>
      <c r="V218" s="5" t="s">
        <v>2901</v>
      </c>
      <c r="W218" s="5" t="s">
        <v>1926</v>
      </c>
      <c r="X218" s="5" t="s">
        <v>1926</v>
      </c>
      <c r="Y218" s="4">
        <v>295</v>
      </c>
      <c r="Z218" s="4">
        <v>243</v>
      </c>
      <c r="AA218" s="4">
        <v>253</v>
      </c>
      <c r="AB218" s="4">
        <v>3</v>
      </c>
      <c r="AC218" s="4">
        <v>3</v>
      </c>
      <c r="AD218" s="4">
        <v>13</v>
      </c>
      <c r="AE218" s="4">
        <v>14</v>
      </c>
      <c r="AF218" s="4">
        <v>4</v>
      </c>
      <c r="AG218" s="4">
        <v>5</v>
      </c>
      <c r="AH218" s="4">
        <v>1</v>
      </c>
      <c r="AI218" s="4">
        <v>1</v>
      </c>
      <c r="AJ218" s="4">
        <v>8</v>
      </c>
      <c r="AK218" s="4">
        <v>9</v>
      </c>
      <c r="AL218" s="4">
        <v>2</v>
      </c>
      <c r="AM218" s="4">
        <v>2</v>
      </c>
      <c r="AN218" s="4">
        <v>0</v>
      </c>
      <c r="AO218" s="4">
        <v>0</v>
      </c>
      <c r="AP218" s="3" t="s">
        <v>58</v>
      </c>
      <c r="AQ218" s="3" t="s">
        <v>68</v>
      </c>
      <c r="AR218" s="6" t="str">
        <f>HYPERLINK("http://catalog.hathitrust.org/Record/000203122","HathiTrust Record")</f>
        <v>HathiTrust Record</v>
      </c>
      <c r="AS218" s="6" t="str">
        <f>HYPERLINK("https://creighton-primo.hosted.exlibrisgroup.com/primo-explore/search?tab=default_tab&amp;search_scope=EVERYTHING&amp;vid=01CRU&amp;lang=en_US&amp;offset=0&amp;query=any,contains,991000015919702656","Catalog Record")</f>
        <v>Catalog Record</v>
      </c>
      <c r="AT218" s="6" t="str">
        <f>HYPERLINK("http://www.worldcat.org/oclc/8552965","WorldCat Record")</f>
        <v>WorldCat Record</v>
      </c>
      <c r="AU218" s="3" t="s">
        <v>2902</v>
      </c>
      <c r="AV218" s="3" t="s">
        <v>2903</v>
      </c>
      <c r="AW218" s="3" t="s">
        <v>2904</v>
      </c>
      <c r="AX218" s="3" t="s">
        <v>2904</v>
      </c>
      <c r="AY218" s="3" t="s">
        <v>2905</v>
      </c>
      <c r="AZ218" s="3" t="s">
        <v>73</v>
      </c>
      <c r="BB218" s="3" t="s">
        <v>2906</v>
      </c>
      <c r="BC218" s="3" t="s">
        <v>2907</v>
      </c>
      <c r="BD218" s="3" t="s">
        <v>2908</v>
      </c>
    </row>
    <row r="219" spans="1:56" ht="45" customHeight="1" x14ac:dyDescent="0.25">
      <c r="A219" s="8" t="s">
        <v>58</v>
      </c>
      <c r="B219" s="2" t="s">
        <v>2909</v>
      </c>
      <c r="C219" s="2" t="s">
        <v>2910</v>
      </c>
      <c r="D219" s="2" t="s">
        <v>2911</v>
      </c>
      <c r="F219" s="3" t="s">
        <v>58</v>
      </c>
      <c r="G219" s="3" t="s">
        <v>59</v>
      </c>
      <c r="H219" s="3" t="s">
        <v>58</v>
      </c>
      <c r="I219" s="3" t="s">
        <v>58</v>
      </c>
      <c r="J219" s="3" t="s">
        <v>60</v>
      </c>
      <c r="K219" s="2" t="s">
        <v>2912</v>
      </c>
      <c r="L219" s="2" t="s">
        <v>2913</v>
      </c>
      <c r="M219" s="3" t="s">
        <v>291</v>
      </c>
      <c r="O219" s="3" t="s">
        <v>64</v>
      </c>
      <c r="P219" s="3" t="s">
        <v>177</v>
      </c>
      <c r="Q219" s="2" t="s">
        <v>2914</v>
      </c>
      <c r="R219" s="3" t="s">
        <v>66</v>
      </c>
      <c r="S219" s="4">
        <v>3</v>
      </c>
      <c r="T219" s="4">
        <v>3</v>
      </c>
      <c r="U219" s="5" t="s">
        <v>2915</v>
      </c>
      <c r="V219" s="5" t="s">
        <v>2915</v>
      </c>
      <c r="W219" s="5" t="s">
        <v>1926</v>
      </c>
      <c r="X219" s="5" t="s">
        <v>1926</v>
      </c>
      <c r="Y219" s="4">
        <v>255</v>
      </c>
      <c r="Z219" s="4">
        <v>221</v>
      </c>
      <c r="AA219" s="4">
        <v>223</v>
      </c>
      <c r="AB219" s="4">
        <v>2</v>
      </c>
      <c r="AC219" s="4">
        <v>2</v>
      </c>
      <c r="AD219" s="4">
        <v>7</v>
      </c>
      <c r="AE219" s="4">
        <v>7</v>
      </c>
      <c r="AF219" s="4">
        <v>1</v>
      </c>
      <c r="AG219" s="4">
        <v>1</v>
      </c>
      <c r="AH219" s="4">
        <v>1</v>
      </c>
      <c r="AI219" s="4">
        <v>1</v>
      </c>
      <c r="AJ219" s="4">
        <v>5</v>
      </c>
      <c r="AK219" s="4">
        <v>5</v>
      </c>
      <c r="AL219" s="4">
        <v>1</v>
      </c>
      <c r="AM219" s="4">
        <v>1</v>
      </c>
      <c r="AN219" s="4">
        <v>0</v>
      </c>
      <c r="AO219" s="4">
        <v>0</v>
      </c>
      <c r="AP219" s="3" t="s">
        <v>58</v>
      </c>
      <c r="AQ219" s="3" t="s">
        <v>68</v>
      </c>
      <c r="AR219" s="6" t="str">
        <f>HYPERLINK("http://catalog.hathitrust.org/Record/005288831","HathiTrust Record")</f>
        <v>HathiTrust Record</v>
      </c>
      <c r="AS219" s="6" t="str">
        <f>HYPERLINK("https://creighton-primo.hosted.exlibrisgroup.com/primo-explore/search?tab=default_tab&amp;search_scope=EVERYTHING&amp;vid=01CRU&amp;lang=en_US&amp;offset=0&amp;query=any,contains,991005183209702656","Catalog Record")</f>
        <v>Catalog Record</v>
      </c>
      <c r="AT219" s="6" t="str">
        <f>HYPERLINK("http://www.worldcat.org/oclc/7947714","WorldCat Record")</f>
        <v>WorldCat Record</v>
      </c>
      <c r="AU219" s="3" t="s">
        <v>2916</v>
      </c>
      <c r="AV219" s="3" t="s">
        <v>2917</v>
      </c>
      <c r="AW219" s="3" t="s">
        <v>2918</v>
      </c>
      <c r="AX219" s="3" t="s">
        <v>2918</v>
      </c>
      <c r="AY219" s="3" t="s">
        <v>2919</v>
      </c>
      <c r="AZ219" s="3" t="s">
        <v>73</v>
      </c>
      <c r="BB219" s="3" t="s">
        <v>2920</v>
      </c>
      <c r="BC219" s="3" t="s">
        <v>2921</v>
      </c>
      <c r="BD219" s="3" t="s">
        <v>2922</v>
      </c>
    </row>
    <row r="220" spans="1:56" ht="45" customHeight="1" x14ac:dyDescent="0.25">
      <c r="A220" s="8" t="s">
        <v>58</v>
      </c>
      <c r="B220" s="2" t="s">
        <v>2923</v>
      </c>
      <c r="C220" s="2" t="s">
        <v>2924</v>
      </c>
      <c r="D220" s="2" t="s">
        <v>2925</v>
      </c>
      <c r="F220" s="3" t="s">
        <v>58</v>
      </c>
      <c r="G220" s="3" t="s">
        <v>59</v>
      </c>
      <c r="H220" s="3" t="s">
        <v>58</v>
      </c>
      <c r="I220" s="3" t="s">
        <v>68</v>
      </c>
      <c r="J220" s="3" t="s">
        <v>60</v>
      </c>
      <c r="L220" s="2" t="s">
        <v>2926</v>
      </c>
      <c r="M220" s="3" t="s">
        <v>176</v>
      </c>
      <c r="O220" s="3" t="s">
        <v>64</v>
      </c>
      <c r="P220" s="3" t="s">
        <v>177</v>
      </c>
      <c r="R220" s="3" t="s">
        <v>66</v>
      </c>
      <c r="S220" s="4">
        <v>9</v>
      </c>
      <c r="T220" s="4">
        <v>9</v>
      </c>
      <c r="U220" s="5" t="s">
        <v>2927</v>
      </c>
      <c r="V220" s="5" t="s">
        <v>2927</v>
      </c>
      <c r="W220" s="5" t="s">
        <v>2928</v>
      </c>
      <c r="X220" s="5" t="s">
        <v>2928</v>
      </c>
      <c r="Y220" s="4">
        <v>408</v>
      </c>
      <c r="Z220" s="4">
        <v>308</v>
      </c>
      <c r="AA220" s="4">
        <v>813</v>
      </c>
      <c r="AB220" s="4">
        <v>4</v>
      </c>
      <c r="AC220" s="4">
        <v>9</v>
      </c>
      <c r="AD220" s="4">
        <v>14</v>
      </c>
      <c r="AE220" s="4">
        <v>38</v>
      </c>
      <c r="AF220" s="4">
        <v>4</v>
      </c>
      <c r="AG220" s="4">
        <v>16</v>
      </c>
      <c r="AH220" s="4">
        <v>5</v>
      </c>
      <c r="AI220" s="4">
        <v>7</v>
      </c>
      <c r="AJ220" s="4">
        <v>6</v>
      </c>
      <c r="AK220" s="4">
        <v>18</v>
      </c>
      <c r="AL220" s="4">
        <v>3</v>
      </c>
      <c r="AM220" s="4">
        <v>7</v>
      </c>
      <c r="AN220" s="4">
        <v>0</v>
      </c>
      <c r="AO220" s="4">
        <v>0</v>
      </c>
      <c r="AP220" s="3" t="s">
        <v>58</v>
      </c>
      <c r="AQ220" s="3" t="s">
        <v>58</v>
      </c>
      <c r="AS220" s="6" t="str">
        <f>HYPERLINK("https://creighton-primo.hosted.exlibrisgroup.com/primo-explore/search?tab=default_tab&amp;search_scope=EVERYTHING&amp;vid=01CRU&amp;lang=en_US&amp;offset=0&amp;query=any,contains,991002152729702656","Catalog Record")</f>
        <v>Catalog Record</v>
      </c>
      <c r="AT220" s="6" t="str">
        <f>HYPERLINK("http://www.worldcat.org/oclc/27728604","WorldCat Record")</f>
        <v>WorldCat Record</v>
      </c>
      <c r="AU220" s="3" t="s">
        <v>2929</v>
      </c>
      <c r="AV220" s="3" t="s">
        <v>2930</v>
      </c>
      <c r="AW220" s="3" t="s">
        <v>2931</v>
      </c>
      <c r="AX220" s="3" t="s">
        <v>2931</v>
      </c>
      <c r="AY220" s="3" t="s">
        <v>2932</v>
      </c>
      <c r="AZ220" s="3" t="s">
        <v>73</v>
      </c>
      <c r="BB220" s="3" t="s">
        <v>2933</v>
      </c>
      <c r="BC220" s="3" t="s">
        <v>2934</v>
      </c>
      <c r="BD220" s="3" t="s">
        <v>2935</v>
      </c>
    </row>
    <row r="221" spans="1:56" ht="45" customHeight="1" x14ac:dyDescent="0.25">
      <c r="A221" s="8" t="s">
        <v>58</v>
      </c>
      <c r="B221" s="2" t="s">
        <v>2936</v>
      </c>
      <c r="C221" s="2" t="s">
        <v>2937</v>
      </c>
      <c r="D221" s="2" t="s">
        <v>2938</v>
      </c>
      <c r="F221" s="3" t="s">
        <v>58</v>
      </c>
      <c r="G221" s="3" t="s">
        <v>59</v>
      </c>
      <c r="H221" s="3" t="s">
        <v>58</v>
      </c>
      <c r="I221" s="3" t="s">
        <v>58</v>
      </c>
      <c r="J221" s="3" t="s">
        <v>60</v>
      </c>
      <c r="K221" s="2" t="s">
        <v>2939</v>
      </c>
      <c r="L221" s="2" t="s">
        <v>2940</v>
      </c>
      <c r="M221" s="3" t="s">
        <v>1013</v>
      </c>
      <c r="O221" s="3" t="s">
        <v>64</v>
      </c>
      <c r="P221" s="3" t="s">
        <v>65</v>
      </c>
      <c r="Q221" s="2" t="s">
        <v>2941</v>
      </c>
      <c r="R221" s="3" t="s">
        <v>66</v>
      </c>
      <c r="S221" s="4">
        <v>2</v>
      </c>
      <c r="T221" s="4">
        <v>2</v>
      </c>
      <c r="U221" s="5" t="s">
        <v>2407</v>
      </c>
      <c r="V221" s="5" t="s">
        <v>2407</v>
      </c>
      <c r="W221" s="5" t="s">
        <v>1926</v>
      </c>
      <c r="X221" s="5" t="s">
        <v>1926</v>
      </c>
      <c r="Y221" s="4">
        <v>231</v>
      </c>
      <c r="Z221" s="4">
        <v>189</v>
      </c>
      <c r="AA221" s="4">
        <v>191</v>
      </c>
      <c r="AB221" s="4">
        <v>4</v>
      </c>
      <c r="AC221" s="4">
        <v>4</v>
      </c>
      <c r="AD221" s="4">
        <v>10</v>
      </c>
      <c r="AE221" s="4">
        <v>10</v>
      </c>
      <c r="AF221" s="4">
        <v>1</v>
      </c>
      <c r="AG221" s="4">
        <v>1</v>
      </c>
      <c r="AH221" s="4">
        <v>2</v>
      </c>
      <c r="AI221" s="4">
        <v>2</v>
      </c>
      <c r="AJ221" s="4">
        <v>6</v>
      </c>
      <c r="AK221" s="4">
        <v>6</v>
      </c>
      <c r="AL221" s="4">
        <v>2</v>
      </c>
      <c r="AM221" s="4">
        <v>2</v>
      </c>
      <c r="AN221" s="4">
        <v>0</v>
      </c>
      <c r="AO221" s="4">
        <v>0</v>
      </c>
      <c r="AP221" s="3" t="s">
        <v>58</v>
      </c>
      <c r="AQ221" s="3" t="s">
        <v>68</v>
      </c>
      <c r="AR221" s="6" t="str">
        <f>HYPERLINK("http://catalog.hathitrust.org/Record/000824529","HathiTrust Record")</f>
        <v>HathiTrust Record</v>
      </c>
      <c r="AS221" s="6" t="str">
        <f>HYPERLINK("https://creighton-primo.hosted.exlibrisgroup.com/primo-explore/search?tab=default_tab&amp;search_scope=EVERYTHING&amp;vid=01CRU&amp;lang=en_US&amp;offset=0&amp;query=any,contains,991000657699702656","Catalog Record")</f>
        <v>Catalog Record</v>
      </c>
      <c r="AT221" s="6" t="str">
        <f>HYPERLINK("http://www.worldcat.org/oclc/12217139","WorldCat Record")</f>
        <v>WorldCat Record</v>
      </c>
      <c r="AU221" s="3" t="s">
        <v>2942</v>
      </c>
      <c r="AV221" s="3" t="s">
        <v>2943</v>
      </c>
      <c r="AW221" s="3" t="s">
        <v>2944</v>
      </c>
      <c r="AX221" s="3" t="s">
        <v>2944</v>
      </c>
      <c r="AY221" s="3" t="s">
        <v>2945</v>
      </c>
      <c r="AZ221" s="3" t="s">
        <v>73</v>
      </c>
      <c r="BB221" s="3" t="s">
        <v>2946</v>
      </c>
      <c r="BC221" s="3" t="s">
        <v>2947</v>
      </c>
      <c r="BD221" s="3" t="s">
        <v>2948</v>
      </c>
    </row>
    <row r="222" spans="1:56" ht="45" customHeight="1" x14ac:dyDescent="0.25">
      <c r="A222" s="8" t="s">
        <v>58</v>
      </c>
      <c r="B222" s="2" t="s">
        <v>2949</v>
      </c>
      <c r="C222" s="2" t="s">
        <v>2950</v>
      </c>
      <c r="D222" s="2" t="s">
        <v>2951</v>
      </c>
      <c r="F222" s="3" t="s">
        <v>58</v>
      </c>
      <c r="G222" s="3" t="s">
        <v>59</v>
      </c>
      <c r="H222" s="3" t="s">
        <v>58</v>
      </c>
      <c r="I222" s="3" t="s">
        <v>58</v>
      </c>
      <c r="J222" s="3" t="s">
        <v>60</v>
      </c>
      <c r="L222" s="2" t="s">
        <v>2952</v>
      </c>
      <c r="M222" s="3" t="s">
        <v>378</v>
      </c>
      <c r="O222" s="3" t="s">
        <v>64</v>
      </c>
      <c r="P222" s="3" t="s">
        <v>422</v>
      </c>
      <c r="Q222" s="2" t="s">
        <v>2953</v>
      </c>
      <c r="R222" s="3" t="s">
        <v>66</v>
      </c>
      <c r="S222" s="4">
        <v>6</v>
      </c>
      <c r="T222" s="4">
        <v>6</v>
      </c>
      <c r="U222" s="5" t="s">
        <v>2954</v>
      </c>
      <c r="V222" s="5" t="s">
        <v>2954</v>
      </c>
      <c r="W222" s="5" t="s">
        <v>1926</v>
      </c>
      <c r="X222" s="5" t="s">
        <v>1926</v>
      </c>
      <c r="Y222" s="4">
        <v>297</v>
      </c>
      <c r="Z222" s="4">
        <v>235</v>
      </c>
      <c r="AA222" s="4">
        <v>236</v>
      </c>
      <c r="AB222" s="4">
        <v>1</v>
      </c>
      <c r="AC222" s="4">
        <v>1</v>
      </c>
      <c r="AD222" s="4">
        <v>12</v>
      </c>
      <c r="AE222" s="4">
        <v>12</v>
      </c>
      <c r="AF222" s="4">
        <v>6</v>
      </c>
      <c r="AG222" s="4">
        <v>6</v>
      </c>
      <c r="AH222" s="4">
        <v>4</v>
      </c>
      <c r="AI222" s="4">
        <v>4</v>
      </c>
      <c r="AJ222" s="4">
        <v>7</v>
      </c>
      <c r="AK222" s="4">
        <v>7</v>
      </c>
      <c r="AL222" s="4">
        <v>0</v>
      </c>
      <c r="AM222" s="4">
        <v>0</v>
      </c>
      <c r="AN222" s="4">
        <v>0</v>
      </c>
      <c r="AO222" s="4">
        <v>0</v>
      </c>
      <c r="AP222" s="3" t="s">
        <v>58</v>
      </c>
      <c r="AQ222" s="3" t="s">
        <v>58</v>
      </c>
      <c r="AS222" s="6" t="str">
        <f>HYPERLINK("https://creighton-primo.hosted.exlibrisgroup.com/primo-explore/search?tab=default_tab&amp;search_scope=EVERYTHING&amp;vid=01CRU&amp;lang=en_US&amp;offset=0&amp;query=any,contains,991000343139702656","Catalog Record")</f>
        <v>Catalog Record</v>
      </c>
      <c r="AT222" s="6" t="str">
        <f>HYPERLINK("http://www.worldcat.org/oclc/10275671","WorldCat Record")</f>
        <v>WorldCat Record</v>
      </c>
      <c r="AU222" s="3" t="s">
        <v>2955</v>
      </c>
      <c r="AV222" s="3" t="s">
        <v>2956</v>
      </c>
      <c r="AW222" s="3" t="s">
        <v>2957</v>
      </c>
      <c r="AX222" s="3" t="s">
        <v>2957</v>
      </c>
      <c r="AY222" s="3" t="s">
        <v>2958</v>
      </c>
      <c r="AZ222" s="3" t="s">
        <v>73</v>
      </c>
      <c r="BB222" s="3" t="s">
        <v>2959</v>
      </c>
      <c r="BC222" s="3" t="s">
        <v>2960</v>
      </c>
      <c r="BD222" s="3" t="s">
        <v>2961</v>
      </c>
    </row>
    <row r="223" spans="1:56" ht="45" customHeight="1" x14ac:dyDescent="0.25">
      <c r="A223" s="8" t="s">
        <v>58</v>
      </c>
      <c r="B223" s="2" t="s">
        <v>2962</v>
      </c>
      <c r="C223" s="2" t="s">
        <v>2963</v>
      </c>
      <c r="D223" s="2" t="s">
        <v>2964</v>
      </c>
      <c r="F223" s="3" t="s">
        <v>58</v>
      </c>
      <c r="G223" s="3" t="s">
        <v>59</v>
      </c>
      <c r="H223" s="3" t="s">
        <v>58</v>
      </c>
      <c r="I223" s="3" t="s">
        <v>58</v>
      </c>
      <c r="J223" s="3" t="s">
        <v>60</v>
      </c>
      <c r="K223" s="2" t="s">
        <v>2965</v>
      </c>
      <c r="L223" s="2" t="s">
        <v>2966</v>
      </c>
      <c r="M223" s="3" t="s">
        <v>538</v>
      </c>
      <c r="O223" s="3" t="s">
        <v>64</v>
      </c>
      <c r="P223" s="3" t="s">
        <v>177</v>
      </c>
      <c r="R223" s="3" t="s">
        <v>66</v>
      </c>
      <c r="S223" s="4">
        <v>20</v>
      </c>
      <c r="T223" s="4">
        <v>20</v>
      </c>
      <c r="U223" s="5" t="s">
        <v>2967</v>
      </c>
      <c r="V223" s="5" t="s">
        <v>2967</v>
      </c>
      <c r="W223" s="5" t="s">
        <v>1028</v>
      </c>
      <c r="X223" s="5" t="s">
        <v>1028</v>
      </c>
      <c r="Y223" s="4">
        <v>183</v>
      </c>
      <c r="Z223" s="4">
        <v>129</v>
      </c>
      <c r="AA223" s="4">
        <v>157</v>
      </c>
      <c r="AB223" s="4">
        <v>2</v>
      </c>
      <c r="AC223" s="4">
        <v>2</v>
      </c>
      <c r="AD223" s="4">
        <v>8</v>
      </c>
      <c r="AE223" s="4">
        <v>10</v>
      </c>
      <c r="AF223" s="4">
        <v>3</v>
      </c>
      <c r="AG223" s="4">
        <v>5</v>
      </c>
      <c r="AH223" s="4">
        <v>1</v>
      </c>
      <c r="AI223" s="4">
        <v>1</v>
      </c>
      <c r="AJ223" s="4">
        <v>5</v>
      </c>
      <c r="AK223" s="4">
        <v>6</v>
      </c>
      <c r="AL223" s="4">
        <v>1</v>
      </c>
      <c r="AM223" s="4">
        <v>1</v>
      </c>
      <c r="AN223" s="4">
        <v>0</v>
      </c>
      <c r="AO223" s="4">
        <v>0</v>
      </c>
      <c r="AP223" s="3" t="s">
        <v>58</v>
      </c>
      <c r="AQ223" s="3" t="s">
        <v>68</v>
      </c>
      <c r="AR223" s="6" t="str">
        <f>HYPERLINK("http://catalog.hathitrust.org/Record/002461523","HathiTrust Record")</f>
        <v>HathiTrust Record</v>
      </c>
      <c r="AS223" s="6" t="str">
        <f>HYPERLINK("https://creighton-primo.hosted.exlibrisgroup.com/primo-explore/search?tab=default_tab&amp;search_scope=EVERYTHING&amp;vid=01CRU&amp;lang=en_US&amp;offset=0&amp;query=any,contains,991001831559702656","Catalog Record")</f>
        <v>Catalog Record</v>
      </c>
      <c r="AT223" s="6" t="str">
        <f>HYPERLINK("http://www.worldcat.org/oclc/23015307","WorldCat Record")</f>
        <v>WorldCat Record</v>
      </c>
      <c r="AU223" s="3" t="s">
        <v>2968</v>
      </c>
      <c r="AV223" s="3" t="s">
        <v>2969</v>
      </c>
      <c r="AW223" s="3" t="s">
        <v>2970</v>
      </c>
      <c r="AX223" s="3" t="s">
        <v>2970</v>
      </c>
      <c r="AY223" s="3" t="s">
        <v>2971</v>
      </c>
      <c r="AZ223" s="3" t="s">
        <v>73</v>
      </c>
      <c r="BB223" s="3" t="s">
        <v>2972</v>
      </c>
      <c r="BC223" s="3" t="s">
        <v>2973</v>
      </c>
      <c r="BD223" s="3" t="s">
        <v>2974</v>
      </c>
    </row>
    <row r="224" spans="1:56" ht="45" customHeight="1" x14ac:dyDescent="0.25">
      <c r="A224" s="8" t="s">
        <v>58</v>
      </c>
      <c r="B224" s="2" t="s">
        <v>2975</v>
      </c>
      <c r="C224" s="2" t="s">
        <v>2976</v>
      </c>
      <c r="D224" s="2" t="s">
        <v>2977</v>
      </c>
      <c r="F224" s="3" t="s">
        <v>58</v>
      </c>
      <c r="G224" s="3" t="s">
        <v>59</v>
      </c>
      <c r="H224" s="3" t="s">
        <v>58</v>
      </c>
      <c r="I224" s="3" t="s">
        <v>58</v>
      </c>
      <c r="J224" s="3" t="s">
        <v>60</v>
      </c>
      <c r="K224" s="2" t="s">
        <v>2978</v>
      </c>
      <c r="L224" s="2" t="s">
        <v>2979</v>
      </c>
      <c r="M224" s="3" t="s">
        <v>522</v>
      </c>
      <c r="O224" s="3" t="s">
        <v>64</v>
      </c>
      <c r="P224" s="3" t="s">
        <v>177</v>
      </c>
      <c r="R224" s="3" t="s">
        <v>66</v>
      </c>
      <c r="S224" s="4">
        <v>2</v>
      </c>
      <c r="T224" s="4">
        <v>2</v>
      </c>
      <c r="U224" s="5" t="s">
        <v>2980</v>
      </c>
      <c r="V224" s="5" t="s">
        <v>2980</v>
      </c>
      <c r="W224" s="5" t="s">
        <v>2981</v>
      </c>
      <c r="X224" s="5" t="s">
        <v>2981</v>
      </c>
      <c r="Y224" s="4">
        <v>289</v>
      </c>
      <c r="Z224" s="4">
        <v>223</v>
      </c>
      <c r="AA224" s="4">
        <v>810</v>
      </c>
      <c r="AB224" s="4">
        <v>3</v>
      </c>
      <c r="AC224" s="4">
        <v>14</v>
      </c>
      <c r="AD224" s="4">
        <v>4</v>
      </c>
      <c r="AE224" s="4">
        <v>18</v>
      </c>
      <c r="AF224" s="4">
        <v>1</v>
      </c>
      <c r="AG224" s="4">
        <v>8</v>
      </c>
      <c r="AH224" s="4">
        <v>1</v>
      </c>
      <c r="AI224" s="4">
        <v>2</v>
      </c>
      <c r="AJ224" s="4">
        <v>2</v>
      </c>
      <c r="AK224" s="4">
        <v>4</v>
      </c>
      <c r="AL224" s="4">
        <v>1</v>
      </c>
      <c r="AM224" s="4">
        <v>8</v>
      </c>
      <c r="AN224" s="4">
        <v>0</v>
      </c>
      <c r="AO224" s="4">
        <v>0</v>
      </c>
      <c r="AP224" s="3" t="s">
        <v>58</v>
      </c>
      <c r="AQ224" s="3" t="s">
        <v>58</v>
      </c>
      <c r="AS224" s="6" t="str">
        <f>HYPERLINK("https://creighton-primo.hosted.exlibrisgroup.com/primo-explore/search?tab=default_tab&amp;search_scope=EVERYTHING&amp;vid=01CRU&amp;lang=en_US&amp;offset=0&amp;query=any,contains,991005102889702656","Catalog Record")</f>
        <v>Catalog Record</v>
      </c>
      <c r="AT224" s="6" t="str">
        <f>HYPERLINK("http://www.worldcat.org/oclc/78070791","WorldCat Record")</f>
        <v>WorldCat Record</v>
      </c>
      <c r="AU224" s="3" t="s">
        <v>2982</v>
      </c>
      <c r="AV224" s="3" t="s">
        <v>2983</v>
      </c>
      <c r="AW224" s="3" t="s">
        <v>2984</v>
      </c>
      <c r="AX224" s="3" t="s">
        <v>2984</v>
      </c>
      <c r="AY224" s="3" t="s">
        <v>2985</v>
      </c>
      <c r="AZ224" s="3" t="s">
        <v>73</v>
      </c>
      <c r="BB224" s="3" t="s">
        <v>2986</v>
      </c>
      <c r="BC224" s="3" t="s">
        <v>2987</v>
      </c>
      <c r="BD224" s="3" t="s">
        <v>2988</v>
      </c>
    </row>
    <row r="225" spans="1:56" ht="45" customHeight="1" x14ac:dyDescent="0.25">
      <c r="A225" s="8" t="s">
        <v>58</v>
      </c>
      <c r="B225" s="2" t="s">
        <v>2989</v>
      </c>
      <c r="C225" s="2" t="s">
        <v>2990</v>
      </c>
      <c r="D225" s="2" t="s">
        <v>2991</v>
      </c>
      <c r="F225" s="3" t="s">
        <v>58</v>
      </c>
      <c r="G225" s="3" t="s">
        <v>59</v>
      </c>
      <c r="H225" s="3" t="s">
        <v>68</v>
      </c>
      <c r="I225" s="3" t="s">
        <v>58</v>
      </c>
      <c r="J225" s="3" t="s">
        <v>60</v>
      </c>
      <c r="K225" s="2" t="s">
        <v>2992</v>
      </c>
      <c r="L225" s="2" t="s">
        <v>2993</v>
      </c>
      <c r="M225" s="3" t="s">
        <v>2208</v>
      </c>
      <c r="O225" s="3" t="s">
        <v>64</v>
      </c>
      <c r="P225" s="3" t="s">
        <v>177</v>
      </c>
      <c r="R225" s="3" t="s">
        <v>66</v>
      </c>
      <c r="S225" s="4">
        <v>3</v>
      </c>
      <c r="T225" s="4">
        <v>4</v>
      </c>
      <c r="U225" s="5" t="s">
        <v>2994</v>
      </c>
      <c r="V225" s="5" t="s">
        <v>2994</v>
      </c>
      <c r="W225" s="5" t="s">
        <v>2995</v>
      </c>
      <c r="X225" s="5" t="s">
        <v>2995</v>
      </c>
      <c r="Y225" s="4">
        <v>421</v>
      </c>
      <c r="Z225" s="4">
        <v>368</v>
      </c>
      <c r="AA225" s="4">
        <v>372</v>
      </c>
      <c r="AB225" s="4">
        <v>5</v>
      </c>
      <c r="AC225" s="4">
        <v>5</v>
      </c>
      <c r="AD225" s="4">
        <v>12</v>
      </c>
      <c r="AE225" s="4">
        <v>12</v>
      </c>
      <c r="AF225" s="4">
        <v>2</v>
      </c>
      <c r="AG225" s="4">
        <v>2</v>
      </c>
      <c r="AH225" s="4">
        <v>2</v>
      </c>
      <c r="AI225" s="4">
        <v>2</v>
      </c>
      <c r="AJ225" s="4">
        <v>7</v>
      </c>
      <c r="AK225" s="4">
        <v>7</v>
      </c>
      <c r="AL225" s="4">
        <v>2</v>
      </c>
      <c r="AM225" s="4">
        <v>2</v>
      </c>
      <c r="AN225" s="4">
        <v>0</v>
      </c>
      <c r="AO225" s="4">
        <v>0</v>
      </c>
      <c r="AP225" s="3" t="s">
        <v>58</v>
      </c>
      <c r="AQ225" s="3" t="s">
        <v>68</v>
      </c>
      <c r="AR225" s="6" t="str">
        <f>HYPERLINK("http://catalog.hathitrust.org/Record/001570933","HathiTrust Record")</f>
        <v>HathiTrust Record</v>
      </c>
      <c r="AS225" s="6" t="str">
        <f>HYPERLINK("https://creighton-primo.hosted.exlibrisgroup.com/primo-explore/search?tab=default_tab&amp;search_scope=EVERYTHING&amp;vid=01CRU&amp;lang=en_US&amp;offset=0&amp;query=any,contains,991001761179702656","Catalog Record")</f>
        <v>Catalog Record</v>
      </c>
      <c r="AT225" s="6" t="str">
        <f>HYPERLINK("http://www.worldcat.org/oclc/23694","WorldCat Record")</f>
        <v>WorldCat Record</v>
      </c>
      <c r="AU225" s="3" t="s">
        <v>2996</v>
      </c>
      <c r="AV225" s="3" t="s">
        <v>2997</v>
      </c>
      <c r="AW225" s="3" t="s">
        <v>2998</v>
      </c>
      <c r="AX225" s="3" t="s">
        <v>2998</v>
      </c>
      <c r="AY225" s="3" t="s">
        <v>2999</v>
      </c>
      <c r="AZ225" s="3" t="s">
        <v>73</v>
      </c>
      <c r="BC225" s="3" t="s">
        <v>3000</v>
      </c>
      <c r="BD225" s="3" t="s">
        <v>3001</v>
      </c>
    </row>
    <row r="226" spans="1:56" ht="45" customHeight="1" x14ac:dyDescent="0.25">
      <c r="A226" s="8" t="s">
        <v>58</v>
      </c>
      <c r="B226" s="2" t="s">
        <v>3002</v>
      </c>
      <c r="C226" s="2" t="s">
        <v>3003</v>
      </c>
      <c r="D226" s="2" t="s">
        <v>3004</v>
      </c>
      <c r="F226" s="3" t="s">
        <v>58</v>
      </c>
      <c r="G226" s="3" t="s">
        <v>59</v>
      </c>
      <c r="H226" s="3" t="s">
        <v>58</v>
      </c>
      <c r="I226" s="3" t="s">
        <v>58</v>
      </c>
      <c r="J226" s="3" t="s">
        <v>60</v>
      </c>
      <c r="K226" s="2" t="s">
        <v>3005</v>
      </c>
      <c r="L226" s="2" t="s">
        <v>2772</v>
      </c>
      <c r="M226" s="3" t="s">
        <v>393</v>
      </c>
      <c r="O226" s="3" t="s">
        <v>64</v>
      </c>
      <c r="P226" s="3" t="s">
        <v>177</v>
      </c>
      <c r="R226" s="3" t="s">
        <v>66</v>
      </c>
      <c r="S226" s="4">
        <v>8</v>
      </c>
      <c r="T226" s="4">
        <v>8</v>
      </c>
      <c r="U226" s="5" t="s">
        <v>1640</v>
      </c>
      <c r="V226" s="5" t="s">
        <v>1640</v>
      </c>
      <c r="W226" s="5" t="s">
        <v>3006</v>
      </c>
      <c r="X226" s="5" t="s">
        <v>3006</v>
      </c>
      <c r="Y226" s="4">
        <v>831</v>
      </c>
      <c r="Z226" s="4">
        <v>687</v>
      </c>
      <c r="AA226" s="4">
        <v>794</v>
      </c>
      <c r="AB226" s="4">
        <v>5</v>
      </c>
      <c r="AC226" s="4">
        <v>5</v>
      </c>
      <c r="AD226" s="4">
        <v>23</v>
      </c>
      <c r="AE226" s="4">
        <v>32</v>
      </c>
      <c r="AF226" s="4">
        <v>9</v>
      </c>
      <c r="AG226" s="4">
        <v>12</v>
      </c>
      <c r="AH226" s="4">
        <v>4</v>
      </c>
      <c r="AI226" s="4">
        <v>7</v>
      </c>
      <c r="AJ226" s="4">
        <v>14</v>
      </c>
      <c r="AK226" s="4">
        <v>19</v>
      </c>
      <c r="AL226" s="4">
        <v>2</v>
      </c>
      <c r="AM226" s="4">
        <v>2</v>
      </c>
      <c r="AN226" s="4">
        <v>0</v>
      </c>
      <c r="AO226" s="4">
        <v>0</v>
      </c>
      <c r="AP226" s="3" t="s">
        <v>58</v>
      </c>
      <c r="AQ226" s="3" t="s">
        <v>68</v>
      </c>
      <c r="AR226" s="6" t="str">
        <f>HYPERLINK("http://catalog.hathitrust.org/Record/000709460","HathiTrust Record")</f>
        <v>HathiTrust Record</v>
      </c>
      <c r="AS226" s="6" t="str">
        <f>HYPERLINK("https://creighton-primo.hosted.exlibrisgroup.com/primo-explore/search?tab=default_tab&amp;search_scope=EVERYTHING&amp;vid=01CRU&amp;lang=en_US&amp;offset=0&amp;query=any,contains,991004840099702656","Catalog Record")</f>
        <v>Catalog Record</v>
      </c>
      <c r="AT226" s="6" t="str">
        <f>HYPERLINK("http://www.worldcat.org/oclc/5496301","WorldCat Record")</f>
        <v>WorldCat Record</v>
      </c>
      <c r="AU226" s="3" t="s">
        <v>3007</v>
      </c>
      <c r="AV226" s="3" t="s">
        <v>3008</v>
      </c>
      <c r="AW226" s="3" t="s">
        <v>3009</v>
      </c>
      <c r="AX226" s="3" t="s">
        <v>3009</v>
      </c>
      <c r="AY226" s="3" t="s">
        <v>3010</v>
      </c>
      <c r="AZ226" s="3" t="s">
        <v>73</v>
      </c>
      <c r="BB226" s="3" t="s">
        <v>3011</v>
      </c>
      <c r="BC226" s="3" t="s">
        <v>3012</v>
      </c>
      <c r="BD226" s="3" t="s">
        <v>3013</v>
      </c>
    </row>
    <row r="227" spans="1:56" ht="45" customHeight="1" x14ac:dyDescent="0.25">
      <c r="A227" s="8" t="s">
        <v>58</v>
      </c>
      <c r="B227" s="2" t="s">
        <v>3014</v>
      </c>
      <c r="C227" s="2" t="s">
        <v>3015</v>
      </c>
      <c r="D227" s="2" t="s">
        <v>3016</v>
      </c>
      <c r="F227" s="3" t="s">
        <v>58</v>
      </c>
      <c r="G227" s="3" t="s">
        <v>59</v>
      </c>
      <c r="H227" s="3" t="s">
        <v>58</v>
      </c>
      <c r="I227" s="3" t="s">
        <v>58</v>
      </c>
      <c r="J227" s="3" t="s">
        <v>60</v>
      </c>
      <c r="K227" s="2" t="s">
        <v>3017</v>
      </c>
      <c r="L227" s="2" t="s">
        <v>3018</v>
      </c>
      <c r="M227" s="3" t="s">
        <v>393</v>
      </c>
      <c r="N227" s="2" t="s">
        <v>3019</v>
      </c>
      <c r="O227" s="3" t="s">
        <v>64</v>
      </c>
      <c r="P227" s="3" t="s">
        <v>422</v>
      </c>
      <c r="R227" s="3" t="s">
        <v>66</v>
      </c>
      <c r="S227" s="4">
        <v>8</v>
      </c>
      <c r="T227" s="4">
        <v>8</v>
      </c>
      <c r="U227" s="5" t="s">
        <v>3020</v>
      </c>
      <c r="V227" s="5" t="s">
        <v>3020</v>
      </c>
      <c r="W227" s="5" t="s">
        <v>3021</v>
      </c>
      <c r="X227" s="5" t="s">
        <v>3021</v>
      </c>
      <c r="Y227" s="4">
        <v>229</v>
      </c>
      <c r="Z227" s="4">
        <v>187</v>
      </c>
      <c r="AA227" s="4">
        <v>438</v>
      </c>
      <c r="AB227" s="4">
        <v>3</v>
      </c>
      <c r="AC227" s="4">
        <v>5</v>
      </c>
      <c r="AD227" s="4">
        <v>11</v>
      </c>
      <c r="AE227" s="4">
        <v>19</v>
      </c>
      <c r="AF227" s="4">
        <v>4</v>
      </c>
      <c r="AG227" s="4">
        <v>7</v>
      </c>
      <c r="AH227" s="4">
        <v>2</v>
      </c>
      <c r="AI227" s="4">
        <v>4</v>
      </c>
      <c r="AJ227" s="4">
        <v>6</v>
      </c>
      <c r="AK227" s="4">
        <v>11</v>
      </c>
      <c r="AL227" s="4">
        <v>2</v>
      </c>
      <c r="AM227" s="4">
        <v>3</v>
      </c>
      <c r="AN227" s="4">
        <v>0</v>
      </c>
      <c r="AO227" s="4">
        <v>0</v>
      </c>
      <c r="AP227" s="3" t="s">
        <v>58</v>
      </c>
      <c r="AQ227" s="3" t="s">
        <v>68</v>
      </c>
      <c r="AR227" s="6" t="str">
        <f>HYPERLINK("http://catalog.hathitrust.org/Record/009913453","HathiTrust Record")</f>
        <v>HathiTrust Record</v>
      </c>
      <c r="AS227" s="6" t="str">
        <f>HYPERLINK("https://creighton-primo.hosted.exlibrisgroup.com/primo-explore/search?tab=default_tab&amp;search_scope=EVERYTHING&amp;vid=01CRU&amp;lang=en_US&amp;offset=0&amp;query=any,contains,991004815639702656","Catalog Record")</f>
        <v>Catalog Record</v>
      </c>
      <c r="AT227" s="6" t="str">
        <f>HYPERLINK("http://www.worldcat.org/oclc/5309875","WorldCat Record")</f>
        <v>WorldCat Record</v>
      </c>
      <c r="AU227" s="3" t="s">
        <v>3022</v>
      </c>
      <c r="AV227" s="3" t="s">
        <v>3023</v>
      </c>
      <c r="AW227" s="3" t="s">
        <v>3024</v>
      </c>
      <c r="AX227" s="3" t="s">
        <v>3024</v>
      </c>
      <c r="AY227" s="3" t="s">
        <v>3025</v>
      </c>
      <c r="AZ227" s="3" t="s">
        <v>73</v>
      </c>
      <c r="BB227" s="3" t="s">
        <v>3026</v>
      </c>
      <c r="BC227" s="3" t="s">
        <v>3027</v>
      </c>
      <c r="BD227" s="3" t="s">
        <v>3028</v>
      </c>
    </row>
    <row r="228" spans="1:56" ht="45" customHeight="1" x14ac:dyDescent="0.25">
      <c r="A228" s="8" t="s">
        <v>58</v>
      </c>
      <c r="B228" s="2" t="s">
        <v>3029</v>
      </c>
      <c r="C228" s="2" t="s">
        <v>3030</v>
      </c>
      <c r="D228" s="2" t="s">
        <v>3031</v>
      </c>
      <c r="F228" s="3" t="s">
        <v>58</v>
      </c>
      <c r="G228" s="3" t="s">
        <v>59</v>
      </c>
      <c r="H228" s="3" t="s">
        <v>58</v>
      </c>
      <c r="I228" s="3" t="s">
        <v>58</v>
      </c>
      <c r="J228" s="3" t="s">
        <v>60</v>
      </c>
      <c r="K228" s="2" t="s">
        <v>3032</v>
      </c>
      <c r="L228" s="2" t="s">
        <v>3033</v>
      </c>
      <c r="M228" s="3" t="s">
        <v>378</v>
      </c>
      <c r="O228" s="3" t="s">
        <v>64</v>
      </c>
      <c r="P228" s="3" t="s">
        <v>177</v>
      </c>
      <c r="R228" s="3" t="s">
        <v>66</v>
      </c>
      <c r="S228" s="4">
        <v>8</v>
      </c>
      <c r="T228" s="4">
        <v>8</v>
      </c>
      <c r="U228" s="5" t="s">
        <v>3034</v>
      </c>
      <c r="V228" s="5" t="s">
        <v>3034</v>
      </c>
      <c r="W228" s="5" t="s">
        <v>2995</v>
      </c>
      <c r="X228" s="5" t="s">
        <v>2995</v>
      </c>
      <c r="Y228" s="4">
        <v>350</v>
      </c>
      <c r="Z228" s="4">
        <v>295</v>
      </c>
      <c r="AA228" s="4">
        <v>302</v>
      </c>
      <c r="AB228" s="4">
        <v>2</v>
      </c>
      <c r="AC228" s="4">
        <v>2</v>
      </c>
      <c r="AD228" s="4">
        <v>12</v>
      </c>
      <c r="AE228" s="4">
        <v>12</v>
      </c>
      <c r="AF228" s="4">
        <v>3</v>
      </c>
      <c r="AG228" s="4">
        <v>3</v>
      </c>
      <c r="AH228" s="4">
        <v>2</v>
      </c>
      <c r="AI228" s="4">
        <v>2</v>
      </c>
      <c r="AJ228" s="4">
        <v>8</v>
      </c>
      <c r="AK228" s="4">
        <v>8</v>
      </c>
      <c r="AL228" s="4">
        <v>1</v>
      </c>
      <c r="AM228" s="4">
        <v>1</v>
      </c>
      <c r="AN228" s="4">
        <v>0</v>
      </c>
      <c r="AO228" s="4">
        <v>0</v>
      </c>
      <c r="AP228" s="3" t="s">
        <v>58</v>
      </c>
      <c r="AQ228" s="3" t="s">
        <v>68</v>
      </c>
      <c r="AR228" s="6" t="str">
        <f>HYPERLINK("http://catalog.hathitrust.org/Record/000246938","HathiTrust Record")</f>
        <v>HathiTrust Record</v>
      </c>
      <c r="AS228" s="6" t="str">
        <f>HYPERLINK("https://creighton-primo.hosted.exlibrisgroup.com/primo-explore/search?tab=default_tab&amp;search_scope=EVERYTHING&amp;vid=01CRU&amp;lang=en_US&amp;offset=0&amp;query=any,contains,991000432889702656","Catalog Record")</f>
        <v>Catalog Record</v>
      </c>
      <c r="AT228" s="6" t="str">
        <f>HYPERLINK("http://www.worldcat.org/oclc/10780058","WorldCat Record")</f>
        <v>WorldCat Record</v>
      </c>
      <c r="AU228" s="3" t="s">
        <v>3035</v>
      </c>
      <c r="AV228" s="3" t="s">
        <v>3036</v>
      </c>
      <c r="AW228" s="3" t="s">
        <v>3037</v>
      </c>
      <c r="AX228" s="3" t="s">
        <v>3037</v>
      </c>
      <c r="AY228" s="3" t="s">
        <v>3038</v>
      </c>
      <c r="AZ228" s="3" t="s">
        <v>73</v>
      </c>
      <c r="BB228" s="3" t="s">
        <v>3039</v>
      </c>
      <c r="BC228" s="3" t="s">
        <v>3040</v>
      </c>
      <c r="BD228" s="3" t="s">
        <v>3041</v>
      </c>
    </row>
    <row r="229" spans="1:56" ht="45" customHeight="1" x14ac:dyDescent="0.25">
      <c r="A229" s="8" t="s">
        <v>58</v>
      </c>
      <c r="B229" s="2" t="s">
        <v>3042</v>
      </c>
      <c r="C229" s="2" t="s">
        <v>3043</v>
      </c>
      <c r="D229" s="2" t="s">
        <v>3044</v>
      </c>
      <c r="F229" s="3" t="s">
        <v>58</v>
      </c>
      <c r="G229" s="3" t="s">
        <v>59</v>
      </c>
      <c r="H229" s="3" t="s">
        <v>58</v>
      </c>
      <c r="I229" s="3" t="s">
        <v>58</v>
      </c>
      <c r="J229" s="3" t="s">
        <v>60</v>
      </c>
      <c r="K229" s="2" t="s">
        <v>3045</v>
      </c>
      <c r="L229" s="2" t="s">
        <v>3046</v>
      </c>
      <c r="M229" s="3" t="s">
        <v>407</v>
      </c>
      <c r="O229" s="3" t="s">
        <v>64</v>
      </c>
      <c r="P229" s="3" t="s">
        <v>177</v>
      </c>
      <c r="R229" s="3" t="s">
        <v>66</v>
      </c>
      <c r="S229" s="4">
        <v>1</v>
      </c>
      <c r="T229" s="4">
        <v>1</v>
      </c>
      <c r="U229" s="5" t="s">
        <v>2371</v>
      </c>
      <c r="V229" s="5" t="s">
        <v>2371</v>
      </c>
      <c r="W229" s="5" t="s">
        <v>2995</v>
      </c>
      <c r="X229" s="5" t="s">
        <v>2995</v>
      </c>
      <c r="Y229" s="4">
        <v>112</v>
      </c>
      <c r="Z229" s="4">
        <v>96</v>
      </c>
      <c r="AA229" s="4">
        <v>96</v>
      </c>
      <c r="AB229" s="4">
        <v>2</v>
      </c>
      <c r="AC229" s="4">
        <v>2</v>
      </c>
      <c r="AD229" s="4">
        <v>3</v>
      </c>
      <c r="AE229" s="4">
        <v>3</v>
      </c>
      <c r="AF229" s="4">
        <v>1</v>
      </c>
      <c r="AG229" s="4">
        <v>1</v>
      </c>
      <c r="AH229" s="4">
        <v>0</v>
      </c>
      <c r="AI229" s="4">
        <v>0</v>
      </c>
      <c r="AJ229" s="4">
        <v>3</v>
      </c>
      <c r="AK229" s="4">
        <v>3</v>
      </c>
      <c r="AL229" s="4">
        <v>0</v>
      </c>
      <c r="AM229" s="4">
        <v>0</v>
      </c>
      <c r="AN229" s="4">
        <v>0</v>
      </c>
      <c r="AO229" s="4">
        <v>0</v>
      </c>
      <c r="AP229" s="3" t="s">
        <v>58</v>
      </c>
      <c r="AQ229" s="3" t="s">
        <v>58</v>
      </c>
      <c r="AS229" s="6" t="str">
        <f>HYPERLINK("https://creighton-primo.hosted.exlibrisgroup.com/primo-explore/search?tab=default_tab&amp;search_scope=EVERYTHING&amp;vid=01CRU&amp;lang=en_US&amp;offset=0&amp;query=any,contains,991004429029702656","Catalog Record")</f>
        <v>Catalog Record</v>
      </c>
      <c r="AT229" s="6" t="str">
        <f>HYPERLINK("http://www.worldcat.org/oclc/3414562","WorldCat Record")</f>
        <v>WorldCat Record</v>
      </c>
      <c r="AU229" s="3" t="s">
        <v>3047</v>
      </c>
      <c r="AV229" s="3" t="s">
        <v>3048</v>
      </c>
      <c r="AW229" s="3" t="s">
        <v>3049</v>
      </c>
      <c r="AX229" s="3" t="s">
        <v>3049</v>
      </c>
      <c r="AY229" s="3" t="s">
        <v>3050</v>
      </c>
      <c r="AZ229" s="3" t="s">
        <v>73</v>
      </c>
      <c r="BB229" s="3" t="s">
        <v>3051</v>
      </c>
      <c r="BC229" s="3" t="s">
        <v>3052</v>
      </c>
      <c r="BD229" s="3" t="s">
        <v>3053</v>
      </c>
    </row>
    <row r="230" spans="1:56" ht="45" customHeight="1" x14ac:dyDescent="0.25">
      <c r="A230" s="8" t="s">
        <v>58</v>
      </c>
      <c r="B230" s="2" t="s">
        <v>3054</v>
      </c>
      <c r="C230" s="2" t="s">
        <v>3055</v>
      </c>
      <c r="D230" s="2" t="s">
        <v>3056</v>
      </c>
      <c r="F230" s="3" t="s">
        <v>58</v>
      </c>
      <c r="G230" s="3" t="s">
        <v>59</v>
      </c>
      <c r="H230" s="3" t="s">
        <v>58</v>
      </c>
      <c r="I230" s="3" t="s">
        <v>58</v>
      </c>
      <c r="J230" s="3" t="s">
        <v>60</v>
      </c>
      <c r="K230" s="2" t="s">
        <v>3057</v>
      </c>
      <c r="L230" s="2" t="s">
        <v>2395</v>
      </c>
      <c r="M230" s="3" t="s">
        <v>378</v>
      </c>
      <c r="O230" s="3" t="s">
        <v>64</v>
      </c>
      <c r="P230" s="3" t="s">
        <v>177</v>
      </c>
      <c r="R230" s="3" t="s">
        <v>66</v>
      </c>
      <c r="S230" s="4">
        <v>3</v>
      </c>
      <c r="T230" s="4">
        <v>3</v>
      </c>
      <c r="U230" s="5" t="s">
        <v>3058</v>
      </c>
      <c r="V230" s="5" t="s">
        <v>3058</v>
      </c>
      <c r="W230" s="5" t="s">
        <v>2995</v>
      </c>
      <c r="X230" s="5" t="s">
        <v>2995</v>
      </c>
      <c r="Y230" s="4">
        <v>91</v>
      </c>
      <c r="Z230" s="4">
        <v>79</v>
      </c>
      <c r="AA230" s="4">
        <v>306</v>
      </c>
      <c r="AB230" s="4">
        <v>1</v>
      </c>
      <c r="AC230" s="4">
        <v>2</v>
      </c>
      <c r="AD230" s="4">
        <v>1</v>
      </c>
      <c r="AE230" s="4">
        <v>9</v>
      </c>
      <c r="AF230" s="4">
        <v>0</v>
      </c>
      <c r="AG230" s="4">
        <v>2</v>
      </c>
      <c r="AH230" s="4">
        <v>0</v>
      </c>
      <c r="AI230" s="4">
        <v>1</v>
      </c>
      <c r="AJ230" s="4">
        <v>1</v>
      </c>
      <c r="AK230" s="4">
        <v>7</v>
      </c>
      <c r="AL230" s="4">
        <v>0</v>
      </c>
      <c r="AM230" s="4">
        <v>1</v>
      </c>
      <c r="AN230" s="4">
        <v>0</v>
      </c>
      <c r="AO230" s="4">
        <v>0</v>
      </c>
      <c r="AP230" s="3" t="s">
        <v>58</v>
      </c>
      <c r="AQ230" s="3" t="s">
        <v>58</v>
      </c>
      <c r="AS230" s="6" t="str">
        <f>HYPERLINK("https://creighton-primo.hosted.exlibrisgroup.com/primo-explore/search?tab=default_tab&amp;search_scope=EVERYTHING&amp;vid=01CRU&amp;lang=en_US&amp;offset=0&amp;query=any,contains,991000328669702656","Catalog Record")</f>
        <v>Catalog Record</v>
      </c>
      <c r="AT230" s="6" t="str">
        <f>HYPERLINK("http://www.worldcat.org/oclc/10185352","WorldCat Record")</f>
        <v>WorldCat Record</v>
      </c>
      <c r="AU230" s="3" t="s">
        <v>3059</v>
      </c>
      <c r="AV230" s="3" t="s">
        <v>3060</v>
      </c>
      <c r="AW230" s="3" t="s">
        <v>3061</v>
      </c>
      <c r="AX230" s="3" t="s">
        <v>3061</v>
      </c>
      <c r="AY230" s="3" t="s">
        <v>3062</v>
      </c>
      <c r="AZ230" s="3" t="s">
        <v>73</v>
      </c>
      <c r="BB230" s="3" t="s">
        <v>3063</v>
      </c>
      <c r="BC230" s="3" t="s">
        <v>3064</v>
      </c>
      <c r="BD230" s="3" t="s">
        <v>3065</v>
      </c>
    </row>
    <row r="231" spans="1:56" ht="45" customHeight="1" x14ac:dyDescent="0.25">
      <c r="A231" s="8" t="s">
        <v>58</v>
      </c>
      <c r="B231" s="2" t="s">
        <v>3066</v>
      </c>
      <c r="C231" s="2" t="s">
        <v>3067</v>
      </c>
      <c r="D231" s="2" t="s">
        <v>3068</v>
      </c>
      <c r="F231" s="3" t="s">
        <v>58</v>
      </c>
      <c r="G231" s="3" t="s">
        <v>59</v>
      </c>
      <c r="H231" s="3" t="s">
        <v>58</v>
      </c>
      <c r="I231" s="3" t="s">
        <v>58</v>
      </c>
      <c r="J231" s="3" t="s">
        <v>60</v>
      </c>
      <c r="K231" s="2" t="s">
        <v>3057</v>
      </c>
      <c r="L231" s="2" t="s">
        <v>3069</v>
      </c>
      <c r="M231" s="3" t="s">
        <v>762</v>
      </c>
      <c r="O231" s="3" t="s">
        <v>64</v>
      </c>
      <c r="P231" s="3" t="s">
        <v>177</v>
      </c>
      <c r="Q231" s="2" t="s">
        <v>2601</v>
      </c>
      <c r="R231" s="3" t="s">
        <v>66</v>
      </c>
      <c r="S231" s="4">
        <v>3</v>
      </c>
      <c r="T231" s="4">
        <v>3</v>
      </c>
      <c r="U231" s="5" t="s">
        <v>3058</v>
      </c>
      <c r="V231" s="5" t="s">
        <v>3058</v>
      </c>
      <c r="W231" s="5" t="s">
        <v>236</v>
      </c>
      <c r="X231" s="5" t="s">
        <v>236</v>
      </c>
      <c r="Y231" s="4">
        <v>472</v>
      </c>
      <c r="Z231" s="4">
        <v>368</v>
      </c>
      <c r="AA231" s="4">
        <v>469</v>
      </c>
      <c r="AB231" s="4">
        <v>4</v>
      </c>
      <c r="AC231" s="4">
        <v>4</v>
      </c>
      <c r="AD231" s="4">
        <v>16</v>
      </c>
      <c r="AE231" s="4">
        <v>18</v>
      </c>
      <c r="AF231" s="4">
        <v>5</v>
      </c>
      <c r="AG231" s="4">
        <v>6</v>
      </c>
      <c r="AH231" s="4">
        <v>2</v>
      </c>
      <c r="AI231" s="4">
        <v>3</v>
      </c>
      <c r="AJ231" s="4">
        <v>11</v>
      </c>
      <c r="AK231" s="4">
        <v>13</v>
      </c>
      <c r="AL231" s="4">
        <v>2</v>
      </c>
      <c r="AM231" s="4">
        <v>2</v>
      </c>
      <c r="AN231" s="4">
        <v>0</v>
      </c>
      <c r="AO231" s="4">
        <v>0</v>
      </c>
      <c r="AP231" s="3" t="s">
        <v>58</v>
      </c>
      <c r="AQ231" s="3" t="s">
        <v>68</v>
      </c>
      <c r="AR231" s="6" t="str">
        <f>HYPERLINK("http://catalog.hathitrust.org/Record/001571030","HathiTrust Record")</f>
        <v>HathiTrust Record</v>
      </c>
      <c r="AS231" s="6" t="str">
        <f>HYPERLINK("https://creighton-primo.hosted.exlibrisgroup.com/primo-explore/search?tab=default_tab&amp;search_scope=EVERYTHING&amp;vid=01CRU&amp;lang=en_US&amp;offset=0&amp;query=any,contains,991001908309702656","Catalog Record")</f>
        <v>Catalog Record</v>
      </c>
      <c r="AT231" s="6" t="str">
        <f>HYPERLINK("http://www.worldcat.org/oclc/241381","WorldCat Record")</f>
        <v>WorldCat Record</v>
      </c>
      <c r="AU231" s="3" t="s">
        <v>3070</v>
      </c>
      <c r="AV231" s="3" t="s">
        <v>3071</v>
      </c>
      <c r="AW231" s="3" t="s">
        <v>3072</v>
      </c>
      <c r="AX231" s="3" t="s">
        <v>3072</v>
      </c>
      <c r="AY231" s="3" t="s">
        <v>3073</v>
      </c>
      <c r="AZ231" s="3" t="s">
        <v>73</v>
      </c>
      <c r="BB231" s="3" t="s">
        <v>3074</v>
      </c>
      <c r="BC231" s="3" t="s">
        <v>3075</v>
      </c>
      <c r="BD231" s="3" t="s">
        <v>3076</v>
      </c>
    </row>
    <row r="232" spans="1:56" ht="45" customHeight="1" x14ac:dyDescent="0.25">
      <c r="A232" s="8" t="s">
        <v>58</v>
      </c>
      <c r="B232" s="2" t="s">
        <v>3077</v>
      </c>
      <c r="C232" s="2" t="s">
        <v>3078</v>
      </c>
      <c r="D232" s="2" t="s">
        <v>3079</v>
      </c>
      <c r="F232" s="3" t="s">
        <v>58</v>
      </c>
      <c r="G232" s="3" t="s">
        <v>59</v>
      </c>
      <c r="H232" s="3" t="s">
        <v>58</v>
      </c>
      <c r="I232" s="3" t="s">
        <v>58</v>
      </c>
      <c r="J232" s="3" t="s">
        <v>60</v>
      </c>
      <c r="K232" s="2" t="s">
        <v>3080</v>
      </c>
      <c r="L232" s="2" t="s">
        <v>3081</v>
      </c>
      <c r="M232" s="3" t="s">
        <v>1451</v>
      </c>
      <c r="O232" s="3" t="s">
        <v>64</v>
      </c>
      <c r="P232" s="3" t="s">
        <v>177</v>
      </c>
      <c r="Q232" s="2" t="s">
        <v>3082</v>
      </c>
      <c r="R232" s="3" t="s">
        <v>66</v>
      </c>
      <c r="S232" s="4">
        <v>1</v>
      </c>
      <c r="T232" s="4">
        <v>1</v>
      </c>
      <c r="U232" s="5" t="s">
        <v>3083</v>
      </c>
      <c r="V232" s="5" t="s">
        <v>3083</v>
      </c>
      <c r="W232" s="5" t="s">
        <v>3084</v>
      </c>
      <c r="X232" s="5" t="s">
        <v>3084</v>
      </c>
      <c r="Y232" s="4">
        <v>528</v>
      </c>
      <c r="Z232" s="4">
        <v>454</v>
      </c>
      <c r="AA232" s="4">
        <v>477</v>
      </c>
      <c r="AB232" s="4">
        <v>3</v>
      </c>
      <c r="AC232" s="4">
        <v>3</v>
      </c>
      <c r="AD232" s="4">
        <v>21</v>
      </c>
      <c r="AE232" s="4">
        <v>22</v>
      </c>
      <c r="AF232" s="4">
        <v>9</v>
      </c>
      <c r="AG232" s="4">
        <v>10</v>
      </c>
      <c r="AH232" s="4">
        <v>4</v>
      </c>
      <c r="AI232" s="4">
        <v>4</v>
      </c>
      <c r="AJ232" s="4">
        <v>11</v>
      </c>
      <c r="AK232" s="4">
        <v>11</v>
      </c>
      <c r="AL232" s="4">
        <v>2</v>
      </c>
      <c r="AM232" s="4">
        <v>2</v>
      </c>
      <c r="AN232" s="4">
        <v>0</v>
      </c>
      <c r="AO232" s="4">
        <v>0</v>
      </c>
      <c r="AP232" s="3" t="s">
        <v>58</v>
      </c>
      <c r="AQ232" s="3" t="s">
        <v>58</v>
      </c>
      <c r="AS232" s="6" t="str">
        <f>HYPERLINK("https://creighton-primo.hosted.exlibrisgroup.com/primo-explore/search?tab=default_tab&amp;search_scope=EVERYTHING&amp;vid=01CRU&amp;lang=en_US&amp;offset=0&amp;query=any,contains,991002961819702656","Catalog Record")</f>
        <v>Catalog Record</v>
      </c>
      <c r="AT232" s="6" t="str">
        <f>HYPERLINK("http://www.worldcat.org/oclc/39625088","WorldCat Record")</f>
        <v>WorldCat Record</v>
      </c>
      <c r="AU232" s="3" t="s">
        <v>3085</v>
      </c>
      <c r="AV232" s="3" t="s">
        <v>3086</v>
      </c>
      <c r="AW232" s="3" t="s">
        <v>3087</v>
      </c>
      <c r="AX232" s="3" t="s">
        <v>3087</v>
      </c>
      <c r="AY232" s="3" t="s">
        <v>3088</v>
      </c>
      <c r="AZ232" s="3" t="s">
        <v>73</v>
      </c>
      <c r="BB232" s="3" t="s">
        <v>3089</v>
      </c>
      <c r="BC232" s="3" t="s">
        <v>3090</v>
      </c>
      <c r="BD232" s="3" t="s">
        <v>3091</v>
      </c>
    </row>
    <row r="233" spans="1:56" ht="45" customHeight="1" x14ac:dyDescent="0.25">
      <c r="A233" s="8" t="s">
        <v>58</v>
      </c>
      <c r="B233" s="2" t="s">
        <v>3092</v>
      </c>
      <c r="C233" s="2" t="s">
        <v>3093</v>
      </c>
      <c r="D233" s="2" t="s">
        <v>3094</v>
      </c>
      <c r="F233" s="3" t="s">
        <v>58</v>
      </c>
      <c r="G233" s="3" t="s">
        <v>59</v>
      </c>
      <c r="H233" s="3" t="s">
        <v>58</v>
      </c>
      <c r="I233" s="3" t="s">
        <v>58</v>
      </c>
      <c r="J233" s="3" t="s">
        <v>60</v>
      </c>
      <c r="K233" s="2" t="s">
        <v>3095</v>
      </c>
      <c r="L233" s="2" t="s">
        <v>3096</v>
      </c>
      <c r="M233" s="3" t="s">
        <v>1013</v>
      </c>
      <c r="O233" s="3" t="s">
        <v>64</v>
      </c>
      <c r="P233" s="3" t="s">
        <v>177</v>
      </c>
      <c r="R233" s="3" t="s">
        <v>66</v>
      </c>
      <c r="S233" s="4">
        <v>6</v>
      </c>
      <c r="T233" s="4">
        <v>6</v>
      </c>
      <c r="U233" s="5" t="s">
        <v>2656</v>
      </c>
      <c r="V233" s="5" t="s">
        <v>2656</v>
      </c>
      <c r="W233" s="5" t="s">
        <v>3097</v>
      </c>
      <c r="X233" s="5" t="s">
        <v>3097</v>
      </c>
      <c r="Y233" s="4">
        <v>457</v>
      </c>
      <c r="Z233" s="4">
        <v>396</v>
      </c>
      <c r="AA233" s="4">
        <v>415</v>
      </c>
      <c r="AB233" s="4">
        <v>3</v>
      </c>
      <c r="AC233" s="4">
        <v>3</v>
      </c>
      <c r="AD233" s="4">
        <v>16</v>
      </c>
      <c r="AE233" s="4">
        <v>16</v>
      </c>
      <c r="AF233" s="4">
        <v>5</v>
      </c>
      <c r="AG233" s="4">
        <v>5</v>
      </c>
      <c r="AH233" s="4">
        <v>5</v>
      </c>
      <c r="AI233" s="4">
        <v>5</v>
      </c>
      <c r="AJ233" s="4">
        <v>9</v>
      </c>
      <c r="AK233" s="4">
        <v>9</v>
      </c>
      <c r="AL233" s="4">
        <v>2</v>
      </c>
      <c r="AM233" s="4">
        <v>2</v>
      </c>
      <c r="AN233" s="4">
        <v>0</v>
      </c>
      <c r="AO233" s="4">
        <v>0</v>
      </c>
      <c r="AP233" s="3" t="s">
        <v>58</v>
      </c>
      <c r="AQ233" s="3" t="s">
        <v>68</v>
      </c>
      <c r="AR233" s="6" t="str">
        <f>HYPERLINK("http://catalog.hathitrust.org/Record/002969423","HathiTrust Record")</f>
        <v>HathiTrust Record</v>
      </c>
      <c r="AS233" s="6" t="str">
        <f>HYPERLINK("https://creighton-primo.hosted.exlibrisgroup.com/primo-explore/search?tab=default_tab&amp;search_scope=EVERYTHING&amp;vid=01CRU&amp;lang=en_US&amp;offset=0&amp;query=any,contains,991000880499702656","Catalog Record")</f>
        <v>Catalog Record</v>
      </c>
      <c r="AT233" s="6" t="str">
        <f>HYPERLINK("http://www.worldcat.org/oclc/13823544","WorldCat Record")</f>
        <v>WorldCat Record</v>
      </c>
      <c r="AU233" s="3" t="s">
        <v>3098</v>
      </c>
      <c r="AV233" s="3" t="s">
        <v>3099</v>
      </c>
      <c r="AW233" s="3" t="s">
        <v>3100</v>
      </c>
      <c r="AX233" s="3" t="s">
        <v>3100</v>
      </c>
      <c r="AY233" s="3" t="s">
        <v>3101</v>
      </c>
      <c r="AZ233" s="3" t="s">
        <v>73</v>
      </c>
      <c r="BB233" s="3" t="s">
        <v>3102</v>
      </c>
      <c r="BC233" s="3" t="s">
        <v>3103</v>
      </c>
      <c r="BD233" s="3" t="s">
        <v>3104</v>
      </c>
    </row>
    <row r="234" spans="1:56" ht="45" customHeight="1" x14ac:dyDescent="0.25">
      <c r="A234" s="8" t="s">
        <v>58</v>
      </c>
      <c r="B234" s="2" t="s">
        <v>3105</v>
      </c>
      <c r="C234" s="2" t="s">
        <v>3106</v>
      </c>
      <c r="D234" s="2" t="s">
        <v>3107</v>
      </c>
      <c r="F234" s="3" t="s">
        <v>58</v>
      </c>
      <c r="G234" s="3" t="s">
        <v>59</v>
      </c>
      <c r="H234" s="3" t="s">
        <v>58</v>
      </c>
      <c r="I234" s="3" t="s">
        <v>58</v>
      </c>
      <c r="J234" s="3" t="s">
        <v>60</v>
      </c>
      <c r="K234" s="2" t="s">
        <v>3108</v>
      </c>
      <c r="L234" s="2" t="s">
        <v>3109</v>
      </c>
      <c r="M234" s="3" t="s">
        <v>681</v>
      </c>
      <c r="O234" s="3" t="s">
        <v>64</v>
      </c>
      <c r="P234" s="3" t="s">
        <v>177</v>
      </c>
      <c r="R234" s="3" t="s">
        <v>66</v>
      </c>
      <c r="S234" s="4">
        <v>2</v>
      </c>
      <c r="T234" s="4">
        <v>2</v>
      </c>
      <c r="U234" s="5" t="s">
        <v>3110</v>
      </c>
      <c r="V234" s="5" t="s">
        <v>3110</v>
      </c>
      <c r="W234" s="5" t="s">
        <v>3111</v>
      </c>
      <c r="X234" s="5" t="s">
        <v>3111</v>
      </c>
      <c r="Y234" s="4">
        <v>357</v>
      </c>
      <c r="Z234" s="4">
        <v>319</v>
      </c>
      <c r="AA234" s="4">
        <v>325</v>
      </c>
      <c r="AB234" s="4">
        <v>2</v>
      </c>
      <c r="AC234" s="4">
        <v>2</v>
      </c>
      <c r="AD234" s="4">
        <v>13</v>
      </c>
      <c r="AE234" s="4">
        <v>13</v>
      </c>
      <c r="AF234" s="4">
        <v>6</v>
      </c>
      <c r="AG234" s="4">
        <v>6</v>
      </c>
      <c r="AH234" s="4">
        <v>2</v>
      </c>
      <c r="AI234" s="4">
        <v>2</v>
      </c>
      <c r="AJ234" s="4">
        <v>8</v>
      </c>
      <c r="AK234" s="4">
        <v>8</v>
      </c>
      <c r="AL234" s="4">
        <v>1</v>
      </c>
      <c r="AM234" s="4">
        <v>1</v>
      </c>
      <c r="AN234" s="4">
        <v>0</v>
      </c>
      <c r="AO234" s="4">
        <v>0</v>
      </c>
      <c r="AP234" s="3" t="s">
        <v>58</v>
      </c>
      <c r="AQ234" s="3" t="s">
        <v>68</v>
      </c>
      <c r="AR234" s="6" t="str">
        <f>HYPERLINK("http://catalog.hathitrust.org/Record/007480391","HathiTrust Record")</f>
        <v>HathiTrust Record</v>
      </c>
      <c r="AS234" s="6" t="str">
        <f>HYPERLINK("https://creighton-primo.hosted.exlibrisgroup.com/primo-explore/search?tab=default_tab&amp;search_scope=EVERYTHING&amp;vid=01CRU&amp;lang=en_US&amp;offset=0&amp;query=any,contains,991005194069702656","Catalog Record")</f>
        <v>Catalog Record</v>
      </c>
      <c r="AT234" s="6" t="str">
        <f>HYPERLINK("http://www.worldcat.org/oclc/8033439","WorldCat Record")</f>
        <v>WorldCat Record</v>
      </c>
      <c r="AU234" s="3" t="s">
        <v>3112</v>
      </c>
      <c r="AV234" s="3" t="s">
        <v>3113</v>
      </c>
      <c r="AW234" s="3" t="s">
        <v>3114</v>
      </c>
      <c r="AX234" s="3" t="s">
        <v>3114</v>
      </c>
      <c r="AY234" s="3" t="s">
        <v>3115</v>
      </c>
      <c r="AZ234" s="3" t="s">
        <v>73</v>
      </c>
      <c r="BB234" s="3" t="s">
        <v>3116</v>
      </c>
      <c r="BC234" s="3" t="s">
        <v>3117</v>
      </c>
      <c r="BD234" s="3" t="s">
        <v>3118</v>
      </c>
    </row>
    <row r="235" spans="1:56" ht="45" customHeight="1" x14ac:dyDescent="0.25">
      <c r="A235" s="8" t="s">
        <v>58</v>
      </c>
      <c r="B235" s="2" t="s">
        <v>3119</v>
      </c>
      <c r="C235" s="2" t="s">
        <v>3120</v>
      </c>
      <c r="D235" s="2" t="s">
        <v>3121</v>
      </c>
      <c r="F235" s="3" t="s">
        <v>58</v>
      </c>
      <c r="G235" s="3" t="s">
        <v>59</v>
      </c>
      <c r="H235" s="3" t="s">
        <v>58</v>
      </c>
      <c r="I235" s="3" t="s">
        <v>58</v>
      </c>
      <c r="J235" s="3" t="s">
        <v>60</v>
      </c>
      <c r="K235" s="2" t="s">
        <v>3122</v>
      </c>
      <c r="L235" s="2" t="s">
        <v>2810</v>
      </c>
      <c r="M235" s="3" t="s">
        <v>552</v>
      </c>
      <c r="O235" s="3" t="s">
        <v>64</v>
      </c>
      <c r="P235" s="3" t="s">
        <v>177</v>
      </c>
      <c r="Q235" s="2" t="s">
        <v>3082</v>
      </c>
      <c r="R235" s="3" t="s">
        <v>66</v>
      </c>
      <c r="S235" s="4">
        <v>12</v>
      </c>
      <c r="T235" s="4">
        <v>12</v>
      </c>
      <c r="U235" s="5" t="s">
        <v>2656</v>
      </c>
      <c r="V235" s="5" t="s">
        <v>2656</v>
      </c>
      <c r="W235" s="5" t="s">
        <v>3123</v>
      </c>
      <c r="X235" s="5" t="s">
        <v>3123</v>
      </c>
      <c r="Y235" s="4">
        <v>694</v>
      </c>
      <c r="Z235" s="4">
        <v>573</v>
      </c>
      <c r="AA235" s="4">
        <v>585</v>
      </c>
      <c r="AB235" s="4">
        <v>5</v>
      </c>
      <c r="AC235" s="4">
        <v>5</v>
      </c>
      <c r="AD235" s="4">
        <v>26</v>
      </c>
      <c r="AE235" s="4">
        <v>26</v>
      </c>
      <c r="AF235" s="4">
        <v>11</v>
      </c>
      <c r="AG235" s="4">
        <v>11</v>
      </c>
      <c r="AH235" s="4">
        <v>4</v>
      </c>
      <c r="AI235" s="4">
        <v>4</v>
      </c>
      <c r="AJ235" s="4">
        <v>13</v>
      </c>
      <c r="AK235" s="4">
        <v>13</v>
      </c>
      <c r="AL235" s="4">
        <v>4</v>
      </c>
      <c r="AM235" s="4">
        <v>4</v>
      </c>
      <c r="AN235" s="4">
        <v>0</v>
      </c>
      <c r="AO235" s="4">
        <v>0</v>
      </c>
      <c r="AP235" s="3" t="s">
        <v>58</v>
      </c>
      <c r="AQ235" s="3" t="s">
        <v>58</v>
      </c>
      <c r="AS235" s="6" t="str">
        <f>HYPERLINK("https://creighton-primo.hosted.exlibrisgroup.com/primo-explore/search?tab=default_tab&amp;search_scope=EVERYTHING&amp;vid=01CRU&amp;lang=en_US&amp;offset=0&amp;query=any,contains,991001184019702656","Catalog Record")</f>
        <v>Catalog Record</v>
      </c>
      <c r="AT235" s="6" t="str">
        <f>HYPERLINK("http://www.worldcat.org/oclc/17200123","WorldCat Record")</f>
        <v>WorldCat Record</v>
      </c>
      <c r="AU235" s="3" t="s">
        <v>3124</v>
      </c>
      <c r="AV235" s="3" t="s">
        <v>3125</v>
      </c>
      <c r="AW235" s="3" t="s">
        <v>3126</v>
      </c>
      <c r="AX235" s="3" t="s">
        <v>3126</v>
      </c>
      <c r="AY235" s="3" t="s">
        <v>3127</v>
      </c>
      <c r="AZ235" s="3" t="s">
        <v>73</v>
      </c>
      <c r="BB235" s="3" t="s">
        <v>3128</v>
      </c>
      <c r="BC235" s="3" t="s">
        <v>3129</v>
      </c>
      <c r="BD235" s="3" t="s">
        <v>3130</v>
      </c>
    </row>
    <row r="236" spans="1:56" ht="45" customHeight="1" x14ac:dyDescent="0.25">
      <c r="A236" s="8" t="s">
        <v>58</v>
      </c>
      <c r="B236" s="2" t="s">
        <v>3131</v>
      </c>
      <c r="C236" s="2" t="s">
        <v>3132</v>
      </c>
      <c r="D236" s="2" t="s">
        <v>3133</v>
      </c>
      <c r="F236" s="3" t="s">
        <v>58</v>
      </c>
      <c r="G236" s="3" t="s">
        <v>59</v>
      </c>
      <c r="H236" s="3" t="s">
        <v>58</v>
      </c>
      <c r="I236" s="3" t="s">
        <v>58</v>
      </c>
      <c r="J236" s="3" t="s">
        <v>60</v>
      </c>
      <c r="K236" s="2" t="s">
        <v>3134</v>
      </c>
      <c r="L236" s="2" t="s">
        <v>3135</v>
      </c>
      <c r="M236" s="3" t="s">
        <v>2120</v>
      </c>
      <c r="O236" s="3" t="s">
        <v>64</v>
      </c>
      <c r="P236" s="3" t="s">
        <v>65</v>
      </c>
      <c r="R236" s="3" t="s">
        <v>66</v>
      </c>
      <c r="S236" s="4">
        <v>4</v>
      </c>
      <c r="T236" s="4">
        <v>4</v>
      </c>
      <c r="U236" s="5" t="s">
        <v>3136</v>
      </c>
      <c r="V236" s="5" t="s">
        <v>3136</v>
      </c>
      <c r="W236" s="5" t="s">
        <v>236</v>
      </c>
      <c r="X236" s="5" t="s">
        <v>236</v>
      </c>
      <c r="Y236" s="4">
        <v>340</v>
      </c>
      <c r="Z236" s="4">
        <v>307</v>
      </c>
      <c r="AA236" s="4">
        <v>314</v>
      </c>
      <c r="AB236" s="4">
        <v>5</v>
      </c>
      <c r="AC236" s="4">
        <v>5</v>
      </c>
      <c r="AD236" s="4">
        <v>19</v>
      </c>
      <c r="AE236" s="4">
        <v>19</v>
      </c>
      <c r="AF236" s="4">
        <v>7</v>
      </c>
      <c r="AG236" s="4">
        <v>7</v>
      </c>
      <c r="AH236" s="4">
        <v>2</v>
      </c>
      <c r="AI236" s="4">
        <v>2</v>
      </c>
      <c r="AJ236" s="4">
        <v>11</v>
      </c>
      <c r="AK236" s="4">
        <v>11</v>
      </c>
      <c r="AL236" s="4">
        <v>4</v>
      </c>
      <c r="AM236" s="4">
        <v>4</v>
      </c>
      <c r="AN236" s="4">
        <v>0</v>
      </c>
      <c r="AO236" s="4">
        <v>0</v>
      </c>
      <c r="AP236" s="3" t="s">
        <v>58</v>
      </c>
      <c r="AQ236" s="3" t="s">
        <v>68</v>
      </c>
      <c r="AR236" s="6" t="str">
        <f>HYPERLINK("http://catalog.hathitrust.org/Record/001570947","HathiTrust Record")</f>
        <v>HathiTrust Record</v>
      </c>
      <c r="AS236" s="6" t="str">
        <f>HYPERLINK("https://creighton-primo.hosted.exlibrisgroup.com/primo-explore/search?tab=default_tab&amp;search_scope=EVERYTHING&amp;vid=01CRU&amp;lang=en_US&amp;offset=0&amp;query=any,contains,991003051489702656","Catalog Record")</f>
        <v>Catalog Record</v>
      </c>
      <c r="AT236" s="6" t="str">
        <f>HYPERLINK("http://www.worldcat.org/oclc/611036","WorldCat Record")</f>
        <v>WorldCat Record</v>
      </c>
      <c r="AU236" s="3" t="s">
        <v>3137</v>
      </c>
      <c r="AV236" s="3" t="s">
        <v>3138</v>
      </c>
      <c r="AW236" s="3" t="s">
        <v>3139</v>
      </c>
      <c r="AX236" s="3" t="s">
        <v>3139</v>
      </c>
      <c r="AY236" s="3" t="s">
        <v>3140</v>
      </c>
      <c r="AZ236" s="3" t="s">
        <v>73</v>
      </c>
      <c r="BC236" s="3" t="s">
        <v>3141</v>
      </c>
      <c r="BD236" s="3" t="s">
        <v>3142</v>
      </c>
    </row>
    <row r="237" spans="1:56" ht="45" customHeight="1" x14ac:dyDescent="0.25">
      <c r="A237" s="8" t="s">
        <v>58</v>
      </c>
      <c r="B237" s="2" t="s">
        <v>3143</v>
      </c>
      <c r="C237" s="2" t="s">
        <v>3144</v>
      </c>
      <c r="D237" s="2" t="s">
        <v>3145</v>
      </c>
      <c r="F237" s="3" t="s">
        <v>58</v>
      </c>
      <c r="G237" s="3" t="s">
        <v>59</v>
      </c>
      <c r="H237" s="3" t="s">
        <v>58</v>
      </c>
      <c r="I237" s="3" t="s">
        <v>58</v>
      </c>
      <c r="J237" s="3" t="s">
        <v>60</v>
      </c>
      <c r="K237" s="2" t="s">
        <v>3146</v>
      </c>
      <c r="L237" s="2" t="s">
        <v>3147</v>
      </c>
      <c r="M237" s="3" t="s">
        <v>62</v>
      </c>
      <c r="N237" s="2" t="s">
        <v>63</v>
      </c>
      <c r="O237" s="3" t="s">
        <v>64</v>
      </c>
      <c r="P237" s="3" t="s">
        <v>177</v>
      </c>
      <c r="R237" s="3" t="s">
        <v>66</v>
      </c>
      <c r="S237" s="4">
        <v>2</v>
      </c>
      <c r="T237" s="4">
        <v>2</v>
      </c>
      <c r="U237" s="5" t="s">
        <v>3148</v>
      </c>
      <c r="V237" s="5" t="s">
        <v>3148</v>
      </c>
      <c r="W237" s="5" t="s">
        <v>3149</v>
      </c>
      <c r="X237" s="5" t="s">
        <v>3149</v>
      </c>
      <c r="Y237" s="4">
        <v>930</v>
      </c>
      <c r="Z237" s="4">
        <v>870</v>
      </c>
      <c r="AA237" s="4">
        <v>1121</v>
      </c>
      <c r="AB237" s="4">
        <v>9</v>
      </c>
      <c r="AC237" s="4">
        <v>13</v>
      </c>
      <c r="AD237" s="4">
        <v>8</v>
      </c>
      <c r="AE237" s="4">
        <v>18</v>
      </c>
      <c r="AF237" s="4">
        <v>5</v>
      </c>
      <c r="AG237" s="4">
        <v>9</v>
      </c>
      <c r="AH237" s="4">
        <v>1</v>
      </c>
      <c r="AI237" s="4">
        <v>3</v>
      </c>
      <c r="AJ237" s="4">
        <v>1</v>
      </c>
      <c r="AK237" s="4">
        <v>2</v>
      </c>
      <c r="AL237" s="4">
        <v>2</v>
      </c>
      <c r="AM237" s="4">
        <v>5</v>
      </c>
      <c r="AN237" s="4">
        <v>0</v>
      </c>
      <c r="AO237" s="4">
        <v>0</v>
      </c>
      <c r="AP237" s="3" t="s">
        <v>58</v>
      </c>
      <c r="AQ237" s="3" t="s">
        <v>58</v>
      </c>
      <c r="AS237" s="6" t="str">
        <f>HYPERLINK("https://creighton-primo.hosted.exlibrisgroup.com/primo-explore/search?tab=default_tab&amp;search_scope=EVERYTHING&amp;vid=01CRU&amp;lang=en_US&amp;offset=0&amp;query=any,contains,991004078439702656","Catalog Record")</f>
        <v>Catalog Record</v>
      </c>
      <c r="AT237" s="6" t="str">
        <f>HYPERLINK("http://www.worldcat.org/oclc/50960782","WorldCat Record")</f>
        <v>WorldCat Record</v>
      </c>
      <c r="AU237" s="3" t="s">
        <v>3150</v>
      </c>
      <c r="AV237" s="3" t="s">
        <v>3151</v>
      </c>
      <c r="AW237" s="3" t="s">
        <v>3152</v>
      </c>
      <c r="AX237" s="3" t="s">
        <v>3152</v>
      </c>
      <c r="AY237" s="3" t="s">
        <v>3153</v>
      </c>
      <c r="AZ237" s="3" t="s">
        <v>73</v>
      </c>
      <c r="BB237" s="3" t="s">
        <v>3154</v>
      </c>
      <c r="BC237" s="3" t="s">
        <v>3155</v>
      </c>
      <c r="BD237" s="3" t="s">
        <v>3156</v>
      </c>
    </row>
    <row r="238" spans="1:56" ht="45" customHeight="1" x14ac:dyDescent="0.25">
      <c r="A238" s="8" t="s">
        <v>58</v>
      </c>
      <c r="B238" s="2" t="s">
        <v>3157</v>
      </c>
      <c r="C238" s="2" t="s">
        <v>3158</v>
      </c>
      <c r="D238" s="2" t="s">
        <v>3159</v>
      </c>
      <c r="F238" s="3" t="s">
        <v>58</v>
      </c>
      <c r="G238" s="3" t="s">
        <v>59</v>
      </c>
      <c r="H238" s="3" t="s">
        <v>58</v>
      </c>
      <c r="I238" s="3" t="s">
        <v>58</v>
      </c>
      <c r="J238" s="3" t="s">
        <v>60</v>
      </c>
      <c r="L238" s="2" t="s">
        <v>3160</v>
      </c>
      <c r="M238" s="3" t="s">
        <v>480</v>
      </c>
      <c r="N238" s="2" t="s">
        <v>63</v>
      </c>
      <c r="O238" s="3" t="s">
        <v>64</v>
      </c>
      <c r="P238" s="3" t="s">
        <v>65</v>
      </c>
      <c r="Q238" s="2" t="s">
        <v>3161</v>
      </c>
      <c r="R238" s="3" t="s">
        <v>66</v>
      </c>
      <c r="S238" s="4">
        <v>4</v>
      </c>
      <c r="T238" s="4">
        <v>4</v>
      </c>
      <c r="U238" s="5" t="s">
        <v>3162</v>
      </c>
      <c r="V238" s="5" t="s">
        <v>3162</v>
      </c>
      <c r="W238" s="5" t="s">
        <v>3163</v>
      </c>
      <c r="X238" s="5" t="s">
        <v>3163</v>
      </c>
      <c r="Y238" s="4">
        <v>522</v>
      </c>
      <c r="Z238" s="4">
        <v>427</v>
      </c>
      <c r="AA238" s="4">
        <v>461</v>
      </c>
      <c r="AB238" s="4">
        <v>5</v>
      </c>
      <c r="AC238" s="4">
        <v>5</v>
      </c>
      <c r="AD238" s="4">
        <v>17</v>
      </c>
      <c r="AE238" s="4">
        <v>21</v>
      </c>
      <c r="AF238" s="4">
        <v>6</v>
      </c>
      <c r="AG238" s="4">
        <v>8</v>
      </c>
      <c r="AH238" s="4">
        <v>3</v>
      </c>
      <c r="AI238" s="4">
        <v>4</v>
      </c>
      <c r="AJ238" s="4">
        <v>10</v>
      </c>
      <c r="AK238" s="4">
        <v>12</v>
      </c>
      <c r="AL238" s="4">
        <v>3</v>
      </c>
      <c r="AM238" s="4">
        <v>3</v>
      </c>
      <c r="AN238" s="4">
        <v>0</v>
      </c>
      <c r="AO238" s="4">
        <v>0</v>
      </c>
      <c r="AP238" s="3" t="s">
        <v>58</v>
      </c>
      <c r="AQ238" s="3" t="s">
        <v>68</v>
      </c>
      <c r="AR238" s="6" t="str">
        <f>HYPERLINK("http://catalog.hathitrust.org/Record/000775764","HathiTrust Record")</f>
        <v>HathiTrust Record</v>
      </c>
      <c r="AS238" s="6" t="str">
        <f>HYPERLINK("https://creighton-primo.hosted.exlibrisgroup.com/primo-explore/search?tab=default_tab&amp;search_scope=EVERYTHING&amp;vid=01CRU&amp;lang=en_US&amp;offset=0&amp;query=any,contains,991005194639702656","Catalog Record")</f>
        <v>Catalog Record</v>
      </c>
      <c r="AT238" s="6" t="str">
        <f>HYPERLINK("http://www.worldcat.org/oclc/8034321","WorldCat Record")</f>
        <v>WorldCat Record</v>
      </c>
      <c r="AU238" s="3" t="s">
        <v>3164</v>
      </c>
      <c r="AV238" s="3" t="s">
        <v>3165</v>
      </c>
      <c r="AW238" s="3" t="s">
        <v>3166</v>
      </c>
      <c r="AX238" s="3" t="s">
        <v>3166</v>
      </c>
      <c r="AY238" s="3" t="s">
        <v>3167</v>
      </c>
      <c r="AZ238" s="3" t="s">
        <v>73</v>
      </c>
      <c r="BB238" s="3" t="s">
        <v>3168</v>
      </c>
      <c r="BC238" s="3" t="s">
        <v>3169</v>
      </c>
      <c r="BD238" s="3" t="s">
        <v>3170</v>
      </c>
    </row>
    <row r="239" spans="1:56" ht="45" customHeight="1" x14ac:dyDescent="0.25">
      <c r="A239" s="8" t="s">
        <v>58</v>
      </c>
      <c r="B239" s="2" t="s">
        <v>3171</v>
      </c>
      <c r="C239" s="2" t="s">
        <v>3172</v>
      </c>
      <c r="D239" s="2" t="s">
        <v>3173</v>
      </c>
      <c r="F239" s="3" t="s">
        <v>58</v>
      </c>
      <c r="G239" s="3" t="s">
        <v>59</v>
      </c>
      <c r="H239" s="3" t="s">
        <v>58</v>
      </c>
      <c r="I239" s="3" t="s">
        <v>58</v>
      </c>
      <c r="J239" s="3" t="s">
        <v>60</v>
      </c>
      <c r="L239" s="2" t="s">
        <v>3174</v>
      </c>
      <c r="M239" s="3" t="s">
        <v>509</v>
      </c>
      <c r="N239" s="2" t="s">
        <v>63</v>
      </c>
      <c r="O239" s="3" t="s">
        <v>64</v>
      </c>
      <c r="P239" s="3" t="s">
        <v>65</v>
      </c>
      <c r="Q239" s="2" t="s">
        <v>3175</v>
      </c>
      <c r="R239" s="3" t="s">
        <v>66</v>
      </c>
      <c r="S239" s="4">
        <v>2</v>
      </c>
      <c r="T239" s="4">
        <v>2</v>
      </c>
      <c r="U239" s="5" t="s">
        <v>3176</v>
      </c>
      <c r="V239" s="5" t="s">
        <v>3176</v>
      </c>
      <c r="W239" s="5" t="s">
        <v>3177</v>
      </c>
      <c r="X239" s="5" t="s">
        <v>3177</v>
      </c>
      <c r="Y239" s="4">
        <v>402</v>
      </c>
      <c r="Z239" s="4">
        <v>329</v>
      </c>
      <c r="AA239" s="4">
        <v>682</v>
      </c>
      <c r="AB239" s="4">
        <v>3</v>
      </c>
      <c r="AC239" s="4">
        <v>7</v>
      </c>
      <c r="AD239" s="4">
        <v>19</v>
      </c>
      <c r="AE239" s="4">
        <v>37</v>
      </c>
      <c r="AF239" s="4">
        <v>9</v>
      </c>
      <c r="AG239" s="4">
        <v>15</v>
      </c>
      <c r="AH239" s="4">
        <v>2</v>
      </c>
      <c r="AI239" s="4">
        <v>7</v>
      </c>
      <c r="AJ239" s="4">
        <v>11</v>
      </c>
      <c r="AK239" s="4">
        <v>15</v>
      </c>
      <c r="AL239" s="4">
        <v>2</v>
      </c>
      <c r="AM239" s="4">
        <v>6</v>
      </c>
      <c r="AN239" s="4">
        <v>0</v>
      </c>
      <c r="AO239" s="4">
        <v>1</v>
      </c>
      <c r="AP239" s="3" t="s">
        <v>58</v>
      </c>
      <c r="AQ239" s="3" t="s">
        <v>68</v>
      </c>
      <c r="AR239" s="6" t="str">
        <f>HYPERLINK("http://catalog.hathitrust.org/Record/003293653","HathiTrust Record")</f>
        <v>HathiTrust Record</v>
      </c>
      <c r="AS239" s="6" t="str">
        <f>HYPERLINK("https://creighton-primo.hosted.exlibrisgroup.com/primo-explore/search?tab=default_tab&amp;search_scope=EVERYTHING&amp;vid=01CRU&amp;lang=en_US&amp;offset=0&amp;query=any,contains,991003662119702656","Catalog Record")</f>
        <v>Catalog Record</v>
      </c>
      <c r="AT239" s="6" t="str">
        <f>HYPERLINK("http://www.worldcat.org/oclc/33242944","WorldCat Record")</f>
        <v>WorldCat Record</v>
      </c>
      <c r="AU239" s="3" t="s">
        <v>3178</v>
      </c>
      <c r="AV239" s="3" t="s">
        <v>3179</v>
      </c>
      <c r="AW239" s="3" t="s">
        <v>3180</v>
      </c>
      <c r="AX239" s="3" t="s">
        <v>3180</v>
      </c>
      <c r="AY239" s="3" t="s">
        <v>3181</v>
      </c>
      <c r="AZ239" s="3" t="s">
        <v>73</v>
      </c>
      <c r="BB239" s="3" t="s">
        <v>3182</v>
      </c>
      <c r="BC239" s="3" t="s">
        <v>3183</v>
      </c>
      <c r="BD239" s="3" t="s">
        <v>3184</v>
      </c>
    </row>
    <row r="240" spans="1:56" ht="45" customHeight="1" x14ac:dyDescent="0.25">
      <c r="A240" s="8" t="s">
        <v>58</v>
      </c>
      <c r="B240" s="2" t="s">
        <v>3185</v>
      </c>
      <c r="C240" s="2" t="s">
        <v>3186</v>
      </c>
      <c r="D240" s="2" t="s">
        <v>3187</v>
      </c>
      <c r="F240" s="3" t="s">
        <v>58</v>
      </c>
      <c r="G240" s="3" t="s">
        <v>59</v>
      </c>
      <c r="H240" s="3" t="s">
        <v>58</v>
      </c>
      <c r="I240" s="3" t="s">
        <v>68</v>
      </c>
      <c r="J240" s="3" t="s">
        <v>60</v>
      </c>
      <c r="K240" s="2" t="s">
        <v>3188</v>
      </c>
      <c r="L240" s="2" t="s">
        <v>3189</v>
      </c>
      <c r="M240" s="3" t="s">
        <v>365</v>
      </c>
      <c r="O240" s="3" t="s">
        <v>64</v>
      </c>
      <c r="P240" s="3" t="s">
        <v>177</v>
      </c>
      <c r="Q240" s="2" t="s">
        <v>2601</v>
      </c>
      <c r="R240" s="3" t="s">
        <v>66</v>
      </c>
      <c r="S240" s="4">
        <v>1</v>
      </c>
      <c r="T240" s="4">
        <v>1</v>
      </c>
      <c r="U240" s="5" t="s">
        <v>2602</v>
      </c>
      <c r="V240" s="5" t="s">
        <v>2602</v>
      </c>
      <c r="W240" s="5" t="s">
        <v>236</v>
      </c>
      <c r="X240" s="5" t="s">
        <v>236</v>
      </c>
      <c r="Y240" s="4">
        <v>707</v>
      </c>
      <c r="Z240" s="4">
        <v>574</v>
      </c>
      <c r="AA240" s="4">
        <v>703</v>
      </c>
      <c r="AB240" s="4">
        <v>8</v>
      </c>
      <c r="AC240" s="4">
        <v>9</v>
      </c>
      <c r="AD240" s="4">
        <v>23</v>
      </c>
      <c r="AE240" s="4">
        <v>30</v>
      </c>
      <c r="AF240" s="4">
        <v>6</v>
      </c>
      <c r="AG240" s="4">
        <v>9</v>
      </c>
      <c r="AH240" s="4">
        <v>4</v>
      </c>
      <c r="AI240" s="4">
        <v>7</v>
      </c>
      <c r="AJ240" s="4">
        <v>13</v>
      </c>
      <c r="AK240" s="4">
        <v>17</v>
      </c>
      <c r="AL240" s="4">
        <v>6</v>
      </c>
      <c r="AM240" s="4">
        <v>6</v>
      </c>
      <c r="AN240" s="4">
        <v>0</v>
      </c>
      <c r="AO240" s="4">
        <v>0</v>
      </c>
      <c r="AP240" s="3" t="s">
        <v>58</v>
      </c>
      <c r="AQ240" s="3" t="s">
        <v>68</v>
      </c>
      <c r="AR240" s="6" t="str">
        <f>HYPERLINK("http://catalog.hathitrust.org/Record/001570951","HathiTrust Record")</f>
        <v>HathiTrust Record</v>
      </c>
      <c r="AS240" s="6" t="str">
        <f>HYPERLINK("https://creighton-primo.hosted.exlibrisgroup.com/primo-explore/search?tab=default_tab&amp;search_scope=EVERYTHING&amp;vid=01CRU&amp;lang=en_US&amp;offset=0&amp;query=any,contains,991000154119702656","Catalog Record")</f>
        <v>Catalog Record</v>
      </c>
      <c r="AT240" s="6" t="str">
        <f>HYPERLINK("http://www.worldcat.org/oclc/60334","WorldCat Record")</f>
        <v>WorldCat Record</v>
      </c>
      <c r="AU240" s="3" t="s">
        <v>3190</v>
      </c>
      <c r="AV240" s="3" t="s">
        <v>3191</v>
      </c>
      <c r="AW240" s="3" t="s">
        <v>3192</v>
      </c>
      <c r="AX240" s="3" t="s">
        <v>3192</v>
      </c>
      <c r="AY240" s="3" t="s">
        <v>3193</v>
      </c>
      <c r="AZ240" s="3" t="s">
        <v>73</v>
      </c>
      <c r="BB240" s="3" t="s">
        <v>3194</v>
      </c>
      <c r="BC240" s="3" t="s">
        <v>3195</v>
      </c>
      <c r="BD240" s="3" t="s">
        <v>3196</v>
      </c>
    </row>
    <row r="241" spans="1:56" ht="45" customHeight="1" x14ac:dyDescent="0.25">
      <c r="A241" s="8" t="s">
        <v>58</v>
      </c>
      <c r="B241" s="2" t="s">
        <v>3197</v>
      </c>
      <c r="C241" s="2" t="s">
        <v>3198</v>
      </c>
      <c r="D241" s="2" t="s">
        <v>3199</v>
      </c>
      <c r="F241" s="3" t="s">
        <v>58</v>
      </c>
      <c r="G241" s="3" t="s">
        <v>59</v>
      </c>
      <c r="H241" s="3" t="s">
        <v>58</v>
      </c>
      <c r="I241" s="3" t="s">
        <v>58</v>
      </c>
      <c r="J241" s="3" t="s">
        <v>60</v>
      </c>
      <c r="K241" s="2" t="s">
        <v>3200</v>
      </c>
      <c r="L241" s="2" t="s">
        <v>3201</v>
      </c>
      <c r="M241" s="3" t="s">
        <v>552</v>
      </c>
      <c r="O241" s="3" t="s">
        <v>64</v>
      </c>
      <c r="P241" s="3" t="s">
        <v>177</v>
      </c>
      <c r="Q241" s="2" t="s">
        <v>3202</v>
      </c>
      <c r="R241" s="3" t="s">
        <v>66</v>
      </c>
      <c r="S241" s="4">
        <v>12</v>
      </c>
      <c r="T241" s="4">
        <v>12</v>
      </c>
      <c r="U241" s="5" t="s">
        <v>3203</v>
      </c>
      <c r="V241" s="5" t="s">
        <v>3203</v>
      </c>
      <c r="W241" s="5" t="s">
        <v>3204</v>
      </c>
      <c r="X241" s="5" t="s">
        <v>3204</v>
      </c>
      <c r="Y241" s="4">
        <v>373</v>
      </c>
      <c r="Z241" s="4">
        <v>304</v>
      </c>
      <c r="AA241" s="4">
        <v>328</v>
      </c>
      <c r="AB241" s="4">
        <v>7</v>
      </c>
      <c r="AC241" s="4">
        <v>7</v>
      </c>
      <c r="AD241" s="4">
        <v>14</v>
      </c>
      <c r="AE241" s="4">
        <v>15</v>
      </c>
      <c r="AF241" s="4">
        <v>2</v>
      </c>
      <c r="AG241" s="4">
        <v>3</v>
      </c>
      <c r="AH241" s="4">
        <v>3</v>
      </c>
      <c r="AI241" s="4">
        <v>3</v>
      </c>
      <c r="AJ241" s="4">
        <v>7</v>
      </c>
      <c r="AK241" s="4">
        <v>8</v>
      </c>
      <c r="AL241" s="4">
        <v>5</v>
      </c>
      <c r="AM241" s="4">
        <v>5</v>
      </c>
      <c r="AN241" s="4">
        <v>0</v>
      </c>
      <c r="AO241" s="4">
        <v>0</v>
      </c>
      <c r="AP241" s="3" t="s">
        <v>58</v>
      </c>
      <c r="AQ241" s="3" t="s">
        <v>68</v>
      </c>
      <c r="AR241" s="6" t="str">
        <f>HYPERLINK("http://catalog.hathitrust.org/Record/001843456","HathiTrust Record")</f>
        <v>HathiTrust Record</v>
      </c>
      <c r="AS241" s="6" t="str">
        <f>HYPERLINK("https://creighton-primo.hosted.exlibrisgroup.com/primo-explore/search?tab=default_tab&amp;search_scope=EVERYTHING&amp;vid=01CRU&amp;lang=en_US&amp;offset=0&amp;query=any,contains,991001412129702656","Catalog Record")</f>
        <v>Catalog Record</v>
      </c>
      <c r="AT241" s="6" t="str">
        <f>HYPERLINK("http://www.worldcat.org/oclc/18908463","WorldCat Record")</f>
        <v>WorldCat Record</v>
      </c>
      <c r="AU241" s="3" t="s">
        <v>3205</v>
      </c>
      <c r="AV241" s="3" t="s">
        <v>3206</v>
      </c>
      <c r="AW241" s="3" t="s">
        <v>3207</v>
      </c>
      <c r="AX241" s="3" t="s">
        <v>3207</v>
      </c>
      <c r="AY241" s="3" t="s">
        <v>3208</v>
      </c>
      <c r="AZ241" s="3" t="s">
        <v>73</v>
      </c>
      <c r="BB241" s="3" t="s">
        <v>3209</v>
      </c>
      <c r="BC241" s="3" t="s">
        <v>3210</v>
      </c>
      <c r="BD241" s="3" t="s">
        <v>3211</v>
      </c>
    </row>
    <row r="242" spans="1:56" ht="45" customHeight="1" x14ac:dyDescent="0.25">
      <c r="A242" s="8" t="s">
        <v>58</v>
      </c>
      <c r="B242" s="2" t="s">
        <v>3212</v>
      </c>
      <c r="C242" s="2" t="s">
        <v>3213</v>
      </c>
      <c r="D242" s="2" t="s">
        <v>3214</v>
      </c>
      <c r="F242" s="3" t="s">
        <v>58</v>
      </c>
      <c r="G242" s="3" t="s">
        <v>59</v>
      </c>
      <c r="H242" s="3" t="s">
        <v>58</v>
      </c>
      <c r="I242" s="3" t="s">
        <v>58</v>
      </c>
      <c r="J242" s="3" t="s">
        <v>60</v>
      </c>
      <c r="K242" s="2" t="s">
        <v>3215</v>
      </c>
      <c r="L242" s="2" t="s">
        <v>3216</v>
      </c>
      <c r="M242" s="3" t="s">
        <v>249</v>
      </c>
      <c r="O242" s="3" t="s">
        <v>64</v>
      </c>
      <c r="P242" s="3" t="s">
        <v>177</v>
      </c>
      <c r="Q242" s="2" t="s">
        <v>264</v>
      </c>
      <c r="R242" s="3" t="s">
        <v>66</v>
      </c>
      <c r="S242" s="4">
        <v>2</v>
      </c>
      <c r="T242" s="4">
        <v>2</v>
      </c>
      <c r="U242" s="5" t="s">
        <v>3217</v>
      </c>
      <c r="V242" s="5" t="s">
        <v>3217</v>
      </c>
      <c r="W242" s="5" t="s">
        <v>2995</v>
      </c>
      <c r="X242" s="5" t="s">
        <v>2995</v>
      </c>
      <c r="Y242" s="4">
        <v>308</v>
      </c>
      <c r="Z242" s="4">
        <v>245</v>
      </c>
      <c r="AA242" s="4">
        <v>248</v>
      </c>
      <c r="AB242" s="4">
        <v>3</v>
      </c>
      <c r="AC242" s="4">
        <v>3</v>
      </c>
      <c r="AD242" s="4">
        <v>9</v>
      </c>
      <c r="AE242" s="4">
        <v>9</v>
      </c>
      <c r="AF242" s="4">
        <v>2</v>
      </c>
      <c r="AG242" s="4">
        <v>2</v>
      </c>
      <c r="AH242" s="4">
        <v>3</v>
      </c>
      <c r="AI242" s="4">
        <v>3</v>
      </c>
      <c r="AJ242" s="4">
        <v>4</v>
      </c>
      <c r="AK242" s="4">
        <v>4</v>
      </c>
      <c r="AL242" s="4">
        <v>1</v>
      </c>
      <c r="AM242" s="4">
        <v>1</v>
      </c>
      <c r="AN242" s="4">
        <v>0</v>
      </c>
      <c r="AO242" s="4">
        <v>0</v>
      </c>
      <c r="AP242" s="3" t="s">
        <v>58</v>
      </c>
      <c r="AQ242" s="3" t="s">
        <v>68</v>
      </c>
      <c r="AR242" s="6" t="str">
        <f>HYPERLINK("http://catalog.hathitrust.org/Record/000176759","HathiTrust Record")</f>
        <v>HathiTrust Record</v>
      </c>
      <c r="AS242" s="6" t="str">
        <f>HYPERLINK("https://creighton-primo.hosted.exlibrisgroup.com/primo-explore/search?tab=default_tab&amp;search_scope=EVERYTHING&amp;vid=01CRU&amp;lang=en_US&amp;offset=0&amp;query=any,contains,991004566799702656","Catalog Record")</f>
        <v>Catalog Record</v>
      </c>
      <c r="AT242" s="6" t="str">
        <f>HYPERLINK("http://www.worldcat.org/oclc/4004734","WorldCat Record")</f>
        <v>WorldCat Record</v>
      </c>
      <c r="AU242" s="3" t="s">
        <v>3218</v>
      </c>
      <c r="AV242" s="3" t="s">
        <v>3219</v>
      </c>
      <c r="AW242" s="3" t="s">
        <v>3220</v>
      </c>
      <c r="AX242" s="3" t="s">
        <v>3220</v>
      </c>
      <c r="AY242" s="3" t="s">
        <v>3221</v>
      </c>
      <c r="AZ242" s="3" t="s">
        <v>73</v>
      </c>
      <c r="BB242" s="3" t="s">
        <v>3222</v>
      </c>
      <c r="BC242" s="3" t="s">
        <v>3223</v>
      </c>
      <c r="BD242" s="3" t="s">
        <v>3224</v>
      </c>
    </row>
    <row r="243" spans="1:56" ht="45" customHeight="1" x14ac:dyDescent="0.25">
      <c r="A243" s="8" t="s">
        <v>58</v>
      </c>
      <c r="B243" s="2" t="s">
        <v>3225</v>
      </c>
      <c r="C243" s="2" t="s">
        <v>3226</v>
      </c>
      <c r="D243" s="2" t="s">
        <v>3227</v>
      </c>
      <c r="F243" s="3" t="s">
        <v>58</v>
      </c>
      <c r="G243" s="3" t="s">
        <v>59</v>
      </c>
      <c r="H243" s="3" t="s">
        <v>58</v>
      </c>
      <c r="I243" s="3" t="s">
        <v>58</v>
      </c>
      <c r="J243" s="3" t="s">
        <v>60</v>
      </c>
      <c r="K243" s="2" t="s">
        <v>2258</v>
      </c>
      <c r="L243" s="2" t="s">
        <v>3228</v>
      </c>
      <c r="M243" s="3" t="s">
        <v>146</v>
      </c>
      <c r="N243" s="2" t="s">
        <v>567</v>
      </c>
      <c r="O243" s="3" t="s">
        <v>64</v>
      </c>
      <c r="P243" s="3" t="s">
        <v>65</v>
      </c>
      <c r="Q243" s="2" t="s">
        <v>3229</v>
      </c>
      <c r="R243" s="3" t="s">
        <v>66</v>
      </c>
      <c r="S243" s="4">
        <v>1</v>
      </c>
      <c r="T243" s="4">
        <v>1</v>
      </c>
      <c r="U243" s="5" t="s">
        <v>3230</v>
      </c>
      <c r="V243" s="5" t="s">
        <v>3230</v>
      </c>
      <c r="W243" s="5" t="s">
        <v>3230</v>
      </c>
      <c r="X243" s="5" t="s">
        <v>3230</v>
      </c>
      <c r="Y243" s="4">
        <v>201</v>
      </c>
      <c r="Z243" s="4">
        <v>143</v>
      </c>
      <c r="AA243" s="4">
        <v>293</v>
      </c>
      <c r="AB243" s="4">
        <v>1</v>
      </c>
      <c r="AC243" s="4">
        <v>4</v>
      </c>
      <c r="AD243" s="4">
        <v>9</v>
      </c>
      <c r="AE243" s="4">
        <v>20</v>
      </c>
      <c r="AF243" s="4">
        <v>3</v>
      </c>
      <c r="AG243" s="4">
        <v>6</v>
      </c>
      <c r="AH243" s="4">
        <v>3</v>
      </c>
      <c r="AI243" s="4">
        <v>5</v>
      </c>
      <c r="AJ243" s="4">
        <v>6</v>
      </c>
      <c r="AK243" s="4">
        <v>12</v>
      </c>
      <c r="AL243" s="4">
        <v>0</v>
      </c>
      <c r="AM243" s="4">
        <v>3</v>
      </c>
      <c r="AN243" s="4">
        <v>0</v>
      </c>
      <c r="AO243" s="4">
        <v>0</v>
      </c>
      <c r="AP243" s="3" t="s">
        <v>58</v>
      </c>
      <c r="AQ243" s="3" t="s">
        <v>58</v>
      </c>
      <c r="AS243" s="6" t="str">
        <f>HYPERLINK("https://creighton-primo.hosted.exlibrisgroup.com/primo-explore/search?tab=default_tab&amp;search_scope=EVERYTHING&amp;vid=01CRU&amp;lang=en_US&amp;offset=0&amp;query=any,contains,991003335369702656","Catalog Record")</f>
        <v>Catalog Record</v>
      </c>
      <c r="AT243" s="6" t="str">
        <f>HYPERLINK("http://www.worldcat.org/oclc/34745916","WorldCat Record")</f>
        <v>WorldCat Record</v>
      </c>
      <c r="AU243" s="3" t="s">
        <v>3231</v>
      </c>
      <c r="AV243" s="3" t="s">
        <v>3232</v>
      </c>
      <c r="AW243" s="3" t="s">
        <v>3233</v>
      </c>
      <c r="AX243" s="3" t="s">
        <v>3233</v>
      </c>
      <c r="AY243" s="3" t="s">
        <v>3234</v>
      </c>
      <c r="AZ243" s="3" t="s">
        <v>73</v>
      </c>
      <c r="BB243" s="3" t="s">
        <v>3235</v>
      </c>
      <c r="BC243" s="3" t="s">
        <v>3236</v>
      </c>
      <c r="BD243" s="3" t="s">
        <v>3237</v>
      </c>
    </row>
    <row r="244" spans="1:56" ht="45" customHeight="1" x14ac:dyDescent="0.25">
      <c r="A244" s="8" t="s">
        <v>58</v>
      </c>
      <c r="B244" s="2" t="s">
        <v>3238</v>
      </c>
      <c r="C244" s="2" t="s">
        <v>3239</v>
      </c>
      <c r="D244" s="2" t="s">
        <v>3240</v>
      </c>
      <c r="F244" s="3" t="s">
        <v>58</v>
      </c>
      <c r="G244" s="3" t="s">
        <v>59</v>
      </c>
      <c r="H244" s="3" t="s">
        <v>58</v>
      </c>
      <c r="I244" s="3" t="s">
        <v>58</v>
      </c>
      <c r="J244" s="3" t="s">
        <v>60</v>
      </c>
      <c r="L244" s="2" t="s">
        <v>3241</v>
      </c>
      <c r="M244" s="3" t="s">
        <v>580</v>
      </c>
      <c r="O244" s="3" t="s">
        <v>64</v>
      </c>
      <c r="P244" s="3" t="s">
        <v>177</v>
      </c>
      <c r="R244" s="3" t="s">
        <v>66</v>
      </c>
      <c r="S244" s="4">
        <v>8</v>
      </c>
      <c r="T244" s="4">
        <v>8</v>
      </c>
      <c r="U244" s="5" t="s">
        <v>2305</v>
      </c>
      <c r="V244" s="5" t="s">
        <v>2305</v>
      </c>
      <c r="W244" s="5" t="s">
        <v>3242</v>
      </c>
      <c r="X244" s="5" t="s">
        <v>3242</v>
      </c>
      <c r="Y244" s="4">
        <v>334</v>
      </c>
      <c r="Z244" s="4">
        <v>268</v>
      </c>
      <c r="AA244" s="4">
        <v>271</v>
      </c>
      <c r="AB244" s="4">
        <v>2</v>
      </c>
      <c r="AC244" s="4">
        <v>2</v>
      </c>
      <c r="AD244" s="4">
        <v>10</v>
      </c>
      <c r="AE244" s="4">
        <v>10</v>
      </c>
      <c r="AF244" s="4">
        <v>4</v>
      </c>
      <c r="AG244" s="4">
        <v>4</v>
      </c>
      <c r="AH244" s="4">
        <v>2</v>
      </c>
      <c r="AI244" s="4">
        <v>2</v>
      </c>
      <c r="AJ244" s="4">
        <v>4</v>
      </c>
      <c r="AK244" s="4">
        <v>4</v>
      </c>
      <c r="AL244" s="4">
        <v>1</v>
      </c>
      <c r="AM244" s="4">
        <v>1</v>
      </c>
      <c r="AN244" s="4">
        <v>0</v>
      </c>
      <c r="AO244" s="4">
        <v>0</v>
      </c>
      <c r="AP244" s="3" t="s">
        <v>58</v>
      </c>
      <c r="AQ244" s="3" t="s">
        <v>58</v>
      </c>
      <c r="AS244" s="6" t="str">
        <f>HYPERLINK("https://creighton-primo.hosted.exlibrisgroup.com/primo-explore/search?tab=default_tab&amp;search_scope=EVERYTHING&amp;vid=01CRU&amp;lang=en_US&amp;offset=0&amp;query=any,contains,991001065929702656","Catalog Record")</f>
        <v>Catalog Record</v>
      </c>
      <c r="AT244" s="6" t="str">
        <f>HYPERLINK("http://www.worldcat.org/oclc/15793449","WorldCat Record")</f>
        <v>WorldCat Record</v>
      </c>
      <c r="AU244" s="3" t="s">
        <v>3243</v>
      </c>
      <c r="AV244" s="3" t="s">
        <v>3244</v>
      </c>
      <c r="AW244" s="3" t="s">
        <v>3245</v>
      </c>
      <c r="AX244" s="3" t="s">
        <v>3245</v>
      </c>
      <c r="AY244" s="3" t="s">
        <v>3246</v>
      </c>
      <c r="AZ244" s="3" t="s">
        <v>73</v>
      </c>
      <c r="BB244" s="3" t="s">
        <v>3247</v>
      </c>
      <c r="BC244" s="3" t="s">
        <v>3248</v>
      </c>
      <c r="BD244" s="3" t="s">
        <v>3249</v>
      </c>
    </row>
    <row r="245" spans="1:56" ht="45" customHeight="1" x14ac:dyDescent="0.25">
      <c r="A245" s="8" t="s">
        <v>58</v>
      </c>
      <c r="B245" s="2" t="s">
        <v>3250</v>
      </c>
      <c r="C245" s="2" t="s">
        <v>3251</v>
      </c>
      <c r="D245" s="2" t="s">
        <v>3252</v>
      </c>
      <c r="F245" s="3" t="s">
        <v>58</v>
      </c>
      <c r="G245" s="3" t="s">
        <v>59</v>
      </c>
      <c r="H245" s="3" t="s">
        <v>58</v>
      </c>
      <c r="I245" s="3" t="s">
        <v>58</v>
      </c>
      <c r="J245" s="3" t="s">
        <v>60</v>
      </c>
      <c r="L245" s="2" t="s">
        <v>3253</v>
      </c>
      <c r="M245" s="3" t="s">
        <v>580</v>
      </c>
      <c r="N245" s="2" t="s">
        <v>567</v>
      </c>
      <c r="O245" s="3" t="s">
        <v>64</v>
      </c>
      <c r="P245" s="3" t="s">
        <v>177</v>
      </c>
      <c r="R245" s="3" t="s">
        <v>66</v>
      </c>
      <c r="S245" s="4">
        <v>4</v>
      </c>
      <c r="T245" s="4">
        <v>4</v>
      </c>
      <c r="U245" s="5" t="s">
        <v>3254</v>
      </c>
      <c r="V245" s="5" t="s">
        <v>3254</v>
      </c>
      <c r="W245" s="5" t="s">
        <v>2484</v>
      </c>
      <c r="X245" s="5" t="s">
        <v>2484</v>
      </c>
      <c r="Y245" s="4">
        <v>361</v>
      </c>
      <c r="Z245" s="4">
        <v>298</v>
      </c>
      <c r="AA245" s="4">
        <v>544</v>
      </c>
      <c r="AB245" s="4">
        <v>4</v>
      </c>
      <c r="AC245" s="4">
        <v>6</v>
      </c>
      <c r="AD245" s="4">
        <v>10</v>
      </c>
      <c r="AE245" s="4">
        <v>21</v>
      </c>
      <c r="AF245" s="4">
        <v>2</v>
      </c>
      <c r="AG245" s="4">
        <v>7</v>
      </c>
      <c r="AH245" s="4">
        <v>2</v>
      </c>
      <c r="AI245" s="4">
        <v>4</v>
      </c>
      <c r="AJ245" s="4">
        <v>7</v>
      </c>
      <c r="AK245" s="4">
        <v>14</v>
      </c>
      <c r="AL245" s="4">
        <v>3</v>
      </c>
      <c r="AM245" s="4">
        <v>3</v>
      </c>
      <c r="AN245" s="4">
        <v>0</v>
      </c>
      <c r="AO245" s="4">
        <v>0</v>
      </c>
      <c r="AP245" s="3" t="s">
        <v>58</v>
      </c>
      <c r="AQ245" s="3" t="s">
        <v>58</v>
      </c>
      <c r="AS245" s="6" t="str">
        <f>HYPERLINK("https://creighton-primo.hosted.exlibrisgroup.com/primo-explore/search?tab=default_tab&amp;search_scope=EVERYTHING&amp;vid=01CRU&amp;lang=en_US&amp;offset=0&amp;query=any,contains,991000941759702656","Catalog Record")</f>
        <v>Catalog Record</v>
      </c>
      <c r="AT245" s="6" t="str">
        <f>HYPERLINK("http://www.worldcat.org/oclc/14413197","WorldCat Record")</f>
        <v>WorldCat Record</v>
      </c>
      <c r="AU245" s="3" t="s">
        <v>3255</v>
      </c>
      <c r="AV245" s="3" t="s">
        <v>3256</v>
      </c>
      <c r="AW245" s="3" t="s">
        <v>3257</v>
      </c>
      <c r="AX245" s="3" t="s">
        <v>3257</v>
      </c>
      <c r="AY245" s="3" t="s">
        <v>3258</v>
      </c>
      <c r="AZ245" s="3" t="s">
        <v>73</v>
      </c>
      <c r="BB245" s="3" t="s">
        <v>3259</v>
      </c>
      <c r="BC245" s="3" t="s">
        <v>3260</v>
      </c>
      <c r="BD245" s="3" t="s">
        <v>3261</v>
      </c>
    </row>
    <row r="246" spans="1:56" ht="45" customHeight="1" x14ac:dyDescent="0.25">
      <c r="A246" s="8" t="s">
        <v>58</v>
      </c>
      <c r="B246" s="2" t="s">
        <v>3262</v>
      </c>
      <c r="C246" s="2" t="s">
        <v>3263</v>
      </c>
      <c r="D246" s="2" t="s">
        <v>3264</v>
      </c>
      <c r="F246" s="3" t="s">
        <v>58</v>
      </c>
      <c r="G246" s="3" t="s">
        <v>59</v>
      </c>
      <c r="H246" s="3" t="s">
        <v>58</v>
      </c>
      <c r="I246" s="3" t="s">
        <v>58</v>
      </c>
      <c r="J246" s="3" t="s">
        <v>60</v>
      </c>
      <c r="L246" s="2" t="s">
        <v>3265</v>
      </c>
      <c r="M246" s="3" t="s">
        <v>1181</v>
      </c>
      <c r="O246" s="3" t="s">
        <v>64</v>
      </c>
      <c r="P246" s="3" t="s">
        <v>250</v>
      </c>
      <c r="R246" s="3" t="s">
        <v>66</v>
      </c>
      <c r="S246" s="4">
        <v>19</v>
      </c>
      <c r="T246" s="4">
        <v>19</v>
      </c>
      <c r="U246" s="5" t="s">
        <v>3266</v>
      </c>
      <c r="V246" s="5" t="s">
        <v>3266</v>
      </c>
      <c r="W246" s="5" t="s">
        <v>3267</v>
      </c>
      <c r="X246" s="5" t="s">
        <v>3267</v>
      </c>
      <c r="Y246" s="4">
        <v>164</v>
      </c>
      <c r="Z246" s="4">
        <v>126</v>
      </c>
      <c r="AA246" s="4">
        <v>159</v>
      </c>
      <c r="AB246" s="4">
        <v>2</v>
      </c>
      <c r="AC246" s="4">
        <v>2</v>
      </c>
      <c r="AD246" s="4">
        <v>9</v>
      </c>
      <c r="AE246" s="4">
        <v>9</v>
      </c>
      <c r="AF246" s="4">
        <v>3</v>
      </c>
      <c r="AG246" s="4">
        <v>3</v>
      </c>
      <c r="AH246" s="4">
        <v>3</v>
      </c>
      <c r="AI246" s="4">
        <v>3</v>
      </c>
      <c r="AJ246" s="4">
        <v>4</v>
      </c>
      <c r="AK246" s="4">
        <v>4</v>
      </c>
      <c r="AL246" s="4">
        <v>1</v>
      </c>
      <c r="AM246" s="4">
        <v>1</v>
      </c>
      <c r="AN246" s="4">
        <v>0</v>
      </c>
      <c r="AO246" s="4">
        <v>0</v>
      </c>
      <c r="AP246" s="3" t="s">
        <v>58</v>
      </c>
      <c r="AQ246" s="3" t="s">
        <v>58</v>
      </c>
      <c r="AS246" s="6" t="str">
        <f>HYPERLINK("https://creighton-primo.hosted.exlibrisgroup.com/primo-explore/search?tab=default_tab&amp;search_scope=EVERYTHING&amp;vid=01CRU&amp;lang=en_US&amp;offset=0&amp;query=any,contains,991001832719702656","Catalog Record")</f>
        <v>Catalog Record</v>
      </c>
      <c r="AT246" s="6" t="str">
        <f>HYPERLINK("http://www.worldcat.org/oclc/23017285","WorldCat Record")</f>
        <v>WorldCat Record</v>
      </c>
      <c r="AU246" s="3" t="s">
        <v>3268</v>
      </c>
      <c r="AV246" s="3" t="s">
        <v>3269</v>
      </c>
      <c r="AW246" s="3" t="s">
        <v>3270</v>
      </c>
      <c r="AX246" s="3" t="s">
        <v>3270</v>
      </c>
      <c r="AY246" s="3" t="s">
        <v>3271</v>
      </c>
      <c r="AZ246" s="3" t="s">
        <v>73</v>
      </c>
      <c r="BB246" s="3" t="s">
        <v>3272</v>
      </c>
      <c r="BC246" s="3" t="s">
        <v>3273</v>
      </c>
      <c r="BD246" s="3" t="s">
        <v>3274</v>
      </c>
    </row>
    <row r="247" spans="1:56" ht="45" customHeight="1" x14ac:dyDescent="0.25">
      <c r="A247" s="8" t="s">
        <v>58</v>
      </c>
      <c r="B247" s="2" t="s">
        <v>3275</v>
      </c>
      <c r="C247" s="2" t="s">
        <v>3276</v>
      </c>
      <c r="D247" s="2" t="s">
        <v>3277</v>
      </c>
      <c r="F247" s="3" t="s">
        <v>58</v>
      </c>
      <c r="G247" s="3" t="s">
        <v>59</v>
      </c>
      <c r="H247" s="3" t="s">
        <v>58</v>
      </c>
      <c r="I247" s="3" t="s">
        <v>58</v>
      </c>
      <c r="J247" s="3" t="s">
        <v>60</v>
      </c>
      <c r="K247" s="2" t="s">
        <v>3278</v>
      </c>
      <c r="L247" s="2" t="s">
        <v>3279</v>
      </c>
      <c r="M247" s="3" t="s">
        <v>509</v>
      </c>
      <c r="N247" s="2" t="s">
        <v>63</v>
      </c>
      <c r="O247" s="3" t="s">
        <v>64</v>
      </c>
      <c r="P247" s="3" t="s">
        <v>147</v>
      </c>
      <c r="R247" s="3" t="s">
        <v>66</v>
      </c>
      <c r="S247" s="4">
        <v>1</v>
      </c>
      <c r="T247" s="4">
        <v>1</v>
      </c>
      <c r="U247" s="5" t="s">
        <v>3280</v>
      </c>
      <c r="V247" s="5" t="s">
        <v>3280</v>
      </c>
      <c r="W247" s="5" t="s">
        <v>3281</v>
      </c>
      <c r="X247" s="5" t="s">
        <v>3281</v>
      </c>
      <c r="Y247" s="4">
        <v>200</v>
      </c>
      <c r="Z247" s="4">
        <v>175</v>
      </c>
      <c r="AA247" s="4">
        <v>215</v>
      </c>
      <c r="AB247" s="4">
        <v>3</v>
      </c>
      <c r="AC247" s="4">
        <v>3</v>
      </c>
      <c r="AD247" s="4">
        <v>5</v>
      </c>
      <c r="AE247" s="4">
        <v>8</v>
      </c>
      <c r="AF247" s="4">
        <v>1</v>
      </c>
      <c r="AG247" s="4">
        <v>3</v>
      </c>
      <c r="AH247" s="4">
        <v>2</v>
      </c>
      <c r="AI247" s="4">
        <v>2</v>
      </c>
      <c r="AJ247" s="4">
        <v>1</v>
      </c>
      <c r="AK247" s="4">
        <v>2</v>
      </c>
      <c r="AL247" s="4">
        <v>2</v>
      </c>
      <c r="AM247" s="4">
        <v>2</v>
      </c>
      <c r="AN247" s="4">
        <v>0</v>
      </c>
      <c r="AO247" s="4">
        <v>0</v>
      </c>
      <c r="AP247" s="3" t="s">
        <v>58</v>
      </c>
      <c r="AQ247" s="3" t="s">
        <v>68</v>
      </c>
      <c r="AR247" s="6" t="str">
        <f>HYPERLINK("http://catalog.hathitrust.org/Record/003110786","HathiTrust Record")</f>
        <v>HathiTrust Record</v>
      </c>
      <c r="AS247" s="6" t="str">
        <f>HYPERLINK("https://creighton-primo.hosted.exlibrisgroup.com/primo-explore/search?tab=default_tab&amp;search_scope=EVERYTHING&amp;vid=01CRU&amp;lang=en_US&amp;offset=0&amp;query=any,contains,991002714349702656","Catalog Record")</f>
        <v>Catalog Record</v>
      </c>
      <c r="AT247" s="6" t="str">
        <f>HYPERLINK("http://www.worldcat.org/oclc/35617662","WorldCat Record")</f>
        <v>WorldCat Record</v>
      </c>
      <c r="AU247" s="3" t="s">
        <v>3282</v>
      </c>
      <c r="AV247" s="3" t="s">
        <v>3283</v>
      </c>
      <c r="AW247" s="3" t="s">
        <v>3284</v>
      </c>
      <c r="AX247" s="3" t="s">
        <v>3284</v>
      </c>
      <c r="AY247" s="3" t="s">
        <v>3285</v>
      </c>
      <c r="AZ247" s="3" t="s">
        <v>73</v>
      </c>
      <c r="BB247" s="3" t="s">
        <v>3286</v>
      </c>
      <c r="BC247" s="3" t="s">
        <v>3287</v>
      </c>
      <c r="BD247" s="3" t="s">
        <v>3288</v>
      </c>
    </row>
    <row r="248" spans="1:56" ht="45" customHeight="1" x14ac:dyDescent="0.25">
      <c r="A248" s="8" t="s">
        <v>58</v>
      </c>
      <c r="B248" s="2" t="s">
        <v>3289</v>
      </c>
      <c r="C248" s="2" t="s">
        <v>3290</v>
      </c>
      <c r="D248" s="2" t="s">
        <v>3291</v>
      </c>
      <c r="F248" s="3" t="s">
        <v>58</v>
      </c>
      <c r="G248" s="3" t="s">
        <v>59</v>
      </c>
      <c r="H248" s="3" t="s">
        <v>58</v>
      </c>
      <c r="I248" s="3" t="s">
        <v>58</v>
      </c>
      <c r="J248" s="3" t="s">
        <v>60</v>
      </c>
      <c r="K248" s="2" t="s">
        <v>3292</v>
      </c>
      <c r="L248" s="2" t="s">
        <v>3293</v>
      </c>
      <c r="M248" s="3" t="s">
        <v>407</v>
      </c>
      <c r="O248" s="3" t="s">
        <v>64</v>
      </c>
      <c r="P248" s="3" t="s">
        <v>682</v>
      </c>
      <c r="R248" s="3" t="s">
        <v>66</v>
      </c>
      <c r="S248" s="4">
        <v>5</v>
      </c>
      <c r="T248" s="4">
        <v>5</v>
      </c>
      <c r="U248" s="5" t="s">
        <v>3294</v>
      </c>
      <c r="V248" s="5" t="s">
        <v>3294</v>
      </c>
      <c r="W248" s="5" t="s">
        <v>3295</v>
      </c>
      <c r="X248" s="5" t="s">
        <v>3295</v>
      </c>
      <c r="Y248" s="4">
        <v>129</v>
      </c>
      <c r="Z248" s="4">
        <v>101</v>
      </c>
      <c r="AA248" s="4">
        <v>101</v>
      </c>
      <c r="AB248" s="4">
        <v>3</v>
      </c>
      <c r="AC248" s="4">
        <v>3</v>
      </c>
      <c r="AD248" s="4">
        <v>5</v>
      </c>
      <c r="AE248" s="4">
        <v>5</v>
      </c>
      <c r="AF248" s="4">
        <v>0</v>
      </c>
      <c r="AG248" s="4">
        <v>0</v>
      </c>
      <c r="AH248" s="4">
        <v>1</v>
      </c>
      <c r="AI248" s="4">
        <v>1</v>
      </c>
      <c r="AJ248" s="4">
        <v>4</v>
      </c>
      <c r="AK248" s="4">
        <v>4</v>
      </c>
      <c r="AL248" s="4">
        <v>1</v>
      </c>
      <c r="AM248" s="4">
        <v>1</v>
      </c>
      <c r="AN248" s="4">
        <v>0</v>
      </c>
      <c r="AO248" s="4">
        <v>0</v>
      </c>
      <c r="AP248" s="3" t="s">
        <v>58</v>
      </c>
      <c r="AQ248" s="3" t="s">
        <v>58</v>
      </c>
      <c r="AS248" s="6" t="str">
        <f>HYPERLINK("https://creighton-primo.hosted.exlibrisgroup.com/primo-explore/search?tab=default_tab&amp;search_scope=EVERYTHING&amp;vid=01CRU&amp;lang=en_US&amp;offset=0&amp;query=any,contains,991004394919702656","Catalog Record")</f>
        <v>Catalog Record</v>
      </c>
      <c r="AT248" s="6" t="str">
        <f>HYPERLINK("http://www.worldcat.org/oclc/3275505","WorldCat Record")</f>
        <v>WorldCat Record</v>
      </c>
      <c r="AU248" s="3" t="s">
        <v>3296</v>
      </c>
      <c r="AV248" s="3" t="s">
        <v>3297</v>
      </c>
      <c r="AW248" s="3" t="s">
        <v>3298</v>
      </c>
      <c r="AX248" s="3" t="s">
        <v>3298</v>
      </c>
      <c r="AY248" s="3" t="s">
        <v>3299</v>
      </c>
      <c r="AZ248" s="3" t="s">
        <v>73</v>
      </c>
      <c r="BB248" s="3" t="s">
        <v>3300</v>
      </c>
      <c r="BC248" s="3" t="s">
        <v>3301</v>
      </c>
      <c r="BD248" s="3" t="s">
        <v>3302</v>
      </c>
    </row>
    <row r="249" spans="1:56" ht="45" customHeight="1" x14ac:dyDescent="0.25">
      <c r="A249" s="8" t="s">
        <v>58</v>
      </c>
      <c r="B249" s="2" t="s">
        <v>3303</v>
      </c>
      <c r="C249" s="2" t="s">
        <v>3304</v>
      </c>
      <c r="D249" s="2" t="s">
        <v>3305</v>
      </c>
      <c r="F249" s="3" t="s">
        <v>58</v>
      </c>
      <c r="G249" s="3" t="s">
        <v>59</v>
      </c>
      <c r="H249" s="3" t="s">
        <v>58</v>
      </c>
      <c r="I249" s="3" t="s">
        <v>58</v>
      </c>
      <c r="J249" s="3" t="s">
        <v>60</v>
      </c>
      <c r="K249" s="2" t="s">
        <v>3306</v>
      </c>
      <c r="L249" s="2" t="s">
        <v>3307</v>
      </c>
      <c r="M249" s="3" t="s">
        <v>161</v>
      </c>
      <c r="O249" s="3" t="s">
        <v>64</v>
      </c>
      <c r="P249" s="3" t="s">
        <v>250</v>
      </c>
      <c r="R249" s="3" t="s">
        <v>66</v>
      </c>
      <c r="S249" s="4">
        <v>3</v>
      </c>
      <c r="T249" s="4">
        <v>3</v>
      </c>
      <c r="U249" s="5" t="s">
        <v>3308</v>
      </c>
      <c r="V249" s="5" t="s">
        <v>3308</v>
      </c>
      <c r="W249" s="5" t="s">
        <v>3309</v>
      </c>
      <c r="X249" s="5" t="s">
        <v>3309</v>
      </c>
      <c r="Y249" s="4">
        <v>291</v>
      </c>
      <c r="Z249" s="4">
        <v>256</v>
      </c>
      <c r="AA249" s="4">
        <v>258</v>
      </c>
      <c r="AB249" s="4">
        <v>3</v>
      </c>
      <c r="AC249" s="4">
        <v>3</v>
      </c>
      <c r="AD249" s="4">
        <v>11</v>
      </c>
      <c r="AE249" s="4">
        <v>11</v>
      </c>
      <c r="AF249" s="4">
        <v>2</v>
      </c>
      <c r="AG249" s="4">
        <v>2</v>
      </c>
      <c r="AH249" s="4">
        <v>3</v>
      </c>
      <c r="AI249" s="4">
        <v>3</v>
      </c>
      <c r="AJ249" s="4">
        <v>6</v>
      </c>
      <c r="AK249" s="4">
        <v>6</v>
      </c>
      <c r="AL249" s="4">
        <v>2</v>
      </c>
      <c r="AM249" s="4">
        <v>2</v>
      </c>
      <c r="AN249" s="4">
        <v>0</v>
      </c>
      <c r="AO249" s="4">
        <v>0</v>
      </c>
      <c r="AP249" s="3" t="s">
        <v>58</v>
      </c>
      <c r="AQ249" s="3" t="s">
        <v>68</v>
      </c>
      <c r="AR249" s="6" t="str">
        <f>HYPERLINK("http://catalog.hathitrust.org/Record/004081650","HathiTrust Record")</f>
        <v>HathiTrust Record</v>
      </c>
      <c r="AS249" s="6" t="str">
        <f>HYPERLINK("https://creighton-primo.hosted.exlibrisgroup.com/primo-explore/search?tab=default_tab&amp;search_scope=EVERYTHING&amp;vid=01CRU&amp;lang=en_US&amp;offset=0&amp;query=any,contains,991003488509702656","Catalog Record")</f>
        <v>Catalog Record</v>
      </c>
      <c r="AT249" s="6" t="str">
        <f>HYPERLINK("http://www.worldcat.org/oclc/40698508","WorldCat Record")</f>
        <v>WorldCat Record</v>
      </c>
      <c r="AU249" s="3" t="s">
        <v>3310</v>
      </c>
      <c r="AV249" s="3" t="s">
        <v>3311</v>
      </c>
      <c r="AW249" s="3" t="s">
        <v>3312</v>
      </c>
      <c r="AX249" s="3" t="s">
        <v>3312</v>
      </c>
      <c r="AY249" s="3" t="s">
        <v>3313</v>
      </c>
      <c r="AZ249" s="3" t="s">
        <v>73</v>
      </c>
      <c r="BB249" s="3" t="s">
        <v>3314</v>
      </c>
      <c r="BC249" s="3" t="s">
        <v>3315</v>
      </c>
      <c r="BD249" s="3" t="s">
        <v>3316</v>
      </c>
    </row>
    <row r="250" spans="1:56" ht="45" customHeight="1" x14ac:dyDescent="0.25">
      <c r="A250" s="8" t="s">
        <v>58</v>
      </c>
      <c r="B250" s="2" t="s">
        <v>3317</v>
      </c>
      <c r="C250" s="2" t="s">
        <v>3318</v>
      </c>
      <c r="D250" s="2" t="s">
        <v>3319</v>
      </c>
      <c r="F250" s="3" t="s">
        <v>58</v>
      </c>
      <c r="G250" s="3" t="s">
        <v>59</v>
      </c>
      <c r="H250" s="3" t="s">
        <v>58</v>
      </c>
      <c r="I250" s="3" t="s">
        <v>58</v>
      </c>
      <c r="J250" s="3" t="s">
        <v>60</v>
      </c>
      <c r="K250" s="2" t="s">
        <v>3320</v>
      </c>
      <c r="L250" s="2" t="s">
        <v>3321</v>
      </c>
      <c r="M250" s="3" t="s">
        <v>82</v>
      </c>
      <c r="N250" s="2" t="s">
        <v>875</v>
      </c>
      <c r="O250" s="3" t="s">
        <v>64</v>
      </c>
      <c r="P250" s="3" t="s">
        <v>99</v>
      </c>
      <c r="R250" s="3" t="s">
        <v>66</v>
      </c>
      <c r="S250" s="4">
        <v>6</v>
      </c>
      <c r="T250" s="4">
        <v>6</v>
      </c>
      <c r="U250" s="5" t="s">
        <v>3322</v>
      </c>
      <c r="V250" s="5" t="s">
        <v>3322</v>
      </c>
      <c r="W250" s="5" t="s">
        <v>3323</v>
      </c>
      <c r="X250" s="5" t="s">
        <v>3323</v>
      </c>
      <c r="Y250" s="4">
        <v>236</v>
      </c>
      <c r="Z250" s="4">
        <v>171</v>
      </c>
      <c r="AA250" s="4">
        <v>461</v>
      </c>
      <c r="AB250" s="4">
        <v>2</v>
      </c>
      <c r="AC250" s="4">
        <v>5</v>
      </c>
      <c r="AD250" s="4">
        <v>4</v>
      </c>
      <c r="AE250" s="4">
        <v>22</v>
      </c>
      <c r="AF250" s="4">
        <v>1</v>
      </c>
      <c r="AG250" s="4">
        <v>11</v>
      </c>
      <c r="AH250" s="4">
        <v>1</v>
      </c>
      <c r="AI250" s="4">
        <v>3</v>
      </c>
      <c r="AJ250" s="4">
        <v>2</v>
      </c>
      <c r="AK250" s="4">
        <v>13</v>
      </c>
      <c r="AL250" s="4">
        <v>1</v>
      </c>
      <c r="AM250" s="4">
        <v>4</v>
      </c>
      <c r="AN250" s="4">
        <v>0</v>
      </c>
      <c r="AO250" s="4">
        <v>0</v>
      </c>
      <c r="AP250" s="3" t="s">
        <v>58</v>
      </c>
      <c r="AQ250" s="3" t="s">
        <v>68</v>
      </c>
      <c r="AR250" s="6" t="str">
        <f>HYPERLINK("http://catalog.hathitrust.org/Record/101997488","HathiTrust Record")</f>
        <v>HathiTrust Record</v>
      </c>
      <c r="AS250" s="6" t="str">
        <f>HYPERLINK("https://creighton-primo.hosted.exlibrisgroup.com/primo-explore/search?tab=default_tab&amp;search_scope=EVERYTHING&amp;vid=01CRU&amp;lang=en_US&amp;offset=0&amp;query=any,contains,991004757389702656","Catalog Record")</f>
        <v>Catalog Record</v>
      </c>
      <c r="AT250" s="6" t="str">
        <f>HYPERLINK("http://www.worldcat.org/oclc/4975358","WorldCat Record")</f>
        <v>WorldCat Record</v>
      </c>
      <c r="AU250" s="3" t="s">
        <v>3324</v>
      </c>
      <c r="AV250" s="3" t="s">
        <v>3325</v>
      </c>
      <c r="AW250" s="3" t="s">
        <v>3326</v>
      </c>
      <c r="AX250" s="3" t="s">
        <v>3326</v>
      </c>
      <c r="AY250" s="3" t="s">
        <v>3327</v>
      </c>
      <c r="AZ250" s="3" t="s">
        <v>73</v>
      </c>
      <c r="BB250" s="3" t="s">
        <v>3328</v>
      </c>
      <c r="BC250" s="3" t="s">
        <v>3329</v>
      </c>
      <c r="BD250" s="3" t="s">
        <v>3330</v>
      </c>
    </row>
    <row r="251" spans="1:56" ht="45" customHeight="1" x14ac:dyDescent="0.25">
      <c r="A251" s="8" t="s">
        <v>58</v>
      </c>
      <c r="B251" s="2" t="s">
        <v>3331</v>
      </c>
      <c r="C251" s="2" t="s">
        <v>3332</v>
      </c>
      <c r="D251" s="2" t="s">
        <v>3333</v>
      </c>
      <c r="F251" s="3" t="s">
        <v>58</v>
      </c>
      <c r="G251" s="3" t="s">
        <v>59</v>
      </c>
      <c r="H251" s="3" t="s">
        <v>58</v>
      </c>
      <c r="I251" s="3" t="s">
        <v>58</v>
      </c>
      <c r="J251" s="3" t="s">
        <v>60</v>
      </c>
      <c r="K251" s="2" t="s">
        <v>3334</v>
      </c>
      <c r="L251" s="2" t="s">
        <v>3335</v>
      </c>
      <c r="M251" s="3" t="s">
        <v>2743</v>
      </c>
      <c r="O251" s="3" t="s">
        <v>64</v>
      </c>
      <c r="P251" s="3" t="s">
        <v>177</v>
      </c>
      <c r="Q251" s="2" t="s">
        <v>3336</v>
      </c>
      <c r="R251" s="3" t="s">
        <v>66</v>
      </c>
      <c r="S251" s="4">
        <v>1</v>
      </c>
      <c r="T251" s="4">
        <v>1</v>
      </c>
      <c r="U251" s="5" t="s">
        <v>3337</v>
      </c>
      <c r="V251" s="5" t="s">
        <v>3337</v>
      </c>
      <c r="W251" s="5" t="s">
        <v>3338</v>
      </c>
      <c r="X251" s="5" t="s">
        <v>3338</v>
      </c>
      <c r="Y251" s="4">
        <v>344</v>
      </c>
      <c r="Z251" s="4">
        <v>309</v>
      </c>
      <c r="AA251" s="4">
        <v>326</v>
      </c>
      <c r="AB251" s="4">
        <v>1</v>
      </c>
      <c r="AC251" s="4">
        <v>1</v>
      </c>
      <c r="AD251" s="4">
        <v>7</v>
      </c>
      <c r="AE251" s="4">
        <v>7</v>
      </c>
      <c r="AF251" s="4">
        <v>1</v>
      </c>
      <c r="AG251" s="4">
        <v>1</v>
      </c>
      <c r="AH251" s="4">
        <v>2</v>
      </c>
      <c r="AI251" s="4">
        <v>2</v>
      </c>
      <c r="AJ251" s="4">
        <v>5</v>
      </c>
      <c r="AK251" s="4">
        <v>5</v>
      </c>
      <c r="AL251" s="4">
        <v>0</v>
      </c>
      <c r="AM251" s="4">
        <v>0</v>
      </c>
      <c r="AN251" s="4">
        <v>0</v>
      </c>
      <c r="AO251" s="4">
        <v>0</v>
      </c>
      <c r="AP251" s="3" t="s">
        <v>58</v>
      </c>
      <c r="AQ251" s="3" t="s">
        <v>68</v>
      </c>
      <c r="AR251" s="6" t="str">
        <f>HYPERLINK("http://catalog.hathitrust.org/Record/000003522","HathiTrust Record")</f>
        <v>HathiTrust Record</v>
      </c>
      <c r="AS251" s="6" t="str">
        <f>HYPERLINK("https://creighton-primo.hosted.exlibrisgroup.com/primo-explore/search?tab=default_tab&amp;search_scope=EVERYTHING&amp;vid=01CRU&amp;lang=en_US&amp;offset=0&amp;query=any,contains,991001912119702656","Catalog Record")</f>
        <v>Catalog Record</v>
      </c>
      <c r="AT251" s="6" t="str">
        <f>HYPERLINK("http://www.worldcat.org/oclc/242537","WorldCat Record")</f>
        <v>WorldCat Record</v>
      </c>
      <c r="AU251" s="3" t="s">
        <v>3339</v>
      </c>
      <c r="AV251" s="3" t="s">
        <v>3340</v>
      </c>
      <c r="AW251" s="3" t="s">
        <v>3341</v>
      </c>
      <c r="AX251" s="3" t="s">
        <v>3341</v>
      </c>
      <c r="AY251" s="3" t="s">
        <v>3342</v>
      </c>
      <c r="AZ251" s="3" t="s">
        <v>73</v>
      </c>
      <c r="BC251" s="3" t="s">
        <v>3343</v>
      </c>
      <c r="BD251" s="3" t="s">
        <v>3344</v>
      </c>
    </row>
    <row r="252" spans="1:56" ht="45" customHeight="1" x14ac:dyDescent="0.25">
      <c r="A252" s="8" t="s">
        <v>58</v>
      </c>
      <c r="B252" s="2" t="s">
        <v>3345</v>
      </c>
      <c r="C252" s="2" t="s">
        <v>3346</v>
      </c>
      <c r="D252" s="2" t="s">
        <v>3347</v>
      </c>
      <c r="F252" s="3" t="s">
        <v>58</v>
      </c>
      <c r="G252" s="3" t="s">
        <v>59</v>
      </c>
      <c r="H252" s="3" t="s">
        <v>58</v>
      </c>
      <c r="I252" s="3" t="s">
        <v>58</v>
      </c>
      <c r="J252" s="3" t="s">
        <v>60</v>
      </c>
      <c r="K252" s="2" t="s">
        <v>3348</v>
      </c>
      <c r="L252" s="2" t="s">
        <v>1664</v>
      </c>
      <c r="M252" s="3" t="s">
        <v>1013</v>
      </c>
      <c r="O252" s="3" t="s">
        <v>64</v>
      </c>
      <c r="P252" s="3" t="s">
        <v>177</v>
      </c>
      <c r="Q252" s="2" t="s">
        <v>3349</v>
      </c>
      <c r="R252" s="3" t="s">
        <v>66</v>
      </c>
      <c r="S252" s="4">
        <v>4</v>
      </c>
      <c r="T252" s="4">
        <v>4</v>
      </c>
      <c r="U252" s="5" t="s">
        <v>3350</v>
      </c>
      <c r="V252" s="5" t="s">
        <v>3350</v>
      </c>
      <c r="W252" s="5" t="s">
        <v>3021</v>
      </c>
      <c r="X252" s="5" t="s">
        <v>3021</v>
      </c>
      <c r="Y252" s="4">
        <v>407</v>
      </c>
      <c r="Z252" s="4">
        <v>334</v>
      </c>
      <c r="AA252" s="4">
        <v>336</v>
      </c>
      <c r="AB252" s="4">
        <v>5</v>
      </c>
      <c r="AC252" s="4">
        <v>5</v>
      </c>
      <c r="AD252" s="4">
        <v>17</v>
      </c>
      <c r="AE252" s="4">
        <v>17</v>
      </c>
      <c r="AF252" s="4">
        <v>3</v>
      </c>
      <c r="AG252" s="4">
        <v>3</v>
      </c>
      <c r="AH252" s="4">
        <v>3</v>
      </c>
      <c r="AI252" s="4">
        <v>3</v>
      </c>
      <c r="AJ252" s="4">
        <v>8</v>
      </c>
      <c r="AK252" s="4">
        <v>8</v>
      </c>
      <c r="AL252" s="4">
        <v>4</v>
      </c>
      <c r="AM252" s="4">
        <v>4</v>
      </c>
      <c r="AN252" s="4">
        <v>0</v>
      </c>
      <c r="AO252" s="4">
        <v>0</v>
      </c>
      <c r="AP252" s="3" t="s">
        <v>58</v>
      </c>
      <c r="AQ252" s="3" t="s">
        <v>68</v>
      </c>
      <c r="AR252" s="6" t="str">
        <f>HYPERLINK("http://catalog.hathitrust.org/Record/000630999","HathiTrust Record")</f>
        <v>HathiTrust Record</v>
      </c>
      <c r="AS252" s="6" t="str">
        <f>HYPERLINK("https://creighton-primo.hosted.exlibrisgroup.com/primo-explore/search?tab=default_tab&amp;search_scope=EVERYTHING&amp;vid=01CRU&amp;lang=en_US&amp;offset=0&amp;query=any,contains,991000795929702656","Catalog Record")</f>
        <v>Catalog Record</v>
      </c>
      <c r="AT252" s="6" t="str">
        <f>HYPERLINK("http://www.worldcat.org/oclc/13186232","WorldCat Record")</f>
        <v>WorldCat Record</v>
      </c>
      <c r="AU252" s="3" t="s">
        <v>3351</v>
      </c>
      <c r="AV252" s="3" t="s">
        <v>3352</v>
      </c>
      <c r="AW252" s="3" t="s">
        <v>3353</v>
      </c>
      <c r="AX252" s="3" t="s">
        <v>3353</v>
      </c>
      <c r="AY252" s="3" t="s">
        <v>3354</v>
      </c>
      <c r="AZ252" s="3" t="s">
        <v>73</v>
      </c>
      <c r="BB252" s="3" t="s">
        <v>3355</v>
      </c>
      <c r="BC252" s="3" t="s">
        <v>3356</v>
      </c>
      <c r="BD252" s="3" t="s">
        <v>3357</v>
      </c>
    </row>
    <row r="253" spans="1:56" ht="45" customHeight="1" x14ac:dyDescent="0.25">
      <c r="A253" s="8" t="s">
        <v>58</v>
      </c>
      <c r="B253" s="2" t="s">
        <v>3358</v>
      </c>
      <c r="C253" s="2" t="s">
        <v>3359</v>
      </c>
      <c r="D253" s="2" t="s">
        <v>3360</v>
      </c>
      <c r="F253" s="3" t="s">
        <v>58</v>
      </c>
      <c r="G253" s="3" t="s">
        <v>59</v>
      </c>
      <c r="H253" s="3" t="s">
        <v>58</v>
      </c>
      <c r="I253" s="3" t="s">
        <v>58</v>
      </c>
      <c r="J253" s="3" t="s">
        <v>60</v>
      </c>
      <c r="K253" s="2" t="s">
        <v>3361</v>
      </c>
      <c r="L253" s="2" t="s">
        <v>3362</v>
      </c>
      <c r="M253" s="3" t="s">
        <v>82</v>
      </c>
      <c r="O253" s="3" t="s">
        <v>64</v>
      </c>
      <c r="P253" s="3" t="s">
        <v>177</v>
      </c>
      <c r="R253" s="3" t="s">
        <v>66</v>
      </c>
      <c r="S253" s="4">
        <v>1</v>
      </c>
      <c r="T253" s="4">
        <v>1</v>
      </c>
      <c r="U253" s="5" t="s">
        <v>3363</v>
      </c>
      <c r="V253" s="5" t="s">
        <v>3363</v>
      </c>
      <c r="W253" s="5" t="s">
        <v>2995</v>
      </c>
      <c r="X253" s="5" t="s">
        <v>2995</v>
      </c>
      <c r="Y253" s="4">
        <v>165</v>
      </c>
      <c r="Z253" s="4">
        <v>157</v>
      </c>
      <c r="AA253" s="4">
        <v>183</v>
      </c>
      <c r="AB253" s="4">
        <v>1</v>
      </c>
      <c r="AC253" s="4">
        <v>1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3" t="s">
        <v>58</v>
      </c>
      <c r="AQ253" s="3" t="s">
        <v>68</v>
      </c>
      <c r="AR253" s="6" t="str">
        <f>HYPERLINK("http://catalog.hathitrust.org/Record/000042999","HathiTrust Record")</f>
        <v>HathiTrust Record</v>
      </c>
      <c r="AS253" s="6" t="str">
        <f>HYPERLINK("https://creighton-primo.hosted.exlibrisgroup.com/primo-explore/search?tab=default_tab&amp;search_scope=EVERYTHING&amp;vid=01CRU&amp;lang=en_US&amp;offset=0&amp;query=any,contains,991004658489702656","Catalog Record")</f>
        <v>Catalog Record</v>
      </c>
      <c r="AT253" s="6" t="str">
        <f>HYPERLINK("http://www.worldcat.org/oclc/4496039","WorldCat Record")</f>
        <v>WorldCat Record</v>
      </c>
      <c r="AU253" s="3" t="s">
        <v>3364</v>
      </c>
      <c r="AV253" s="3" t="s">
        <v>3365</v>
      </c>
      <c r="AW253" s="3" t="s">
        <v>3366</v>
      </c>
      <c r="AX253" s="3" t="s">
        <v>3366</v>
      </c>
      <c r="AY253" s="3" t="s">
        <v>3367</v>
      </c>
      <c r="AZ253" s="3" t="s">
        <v>73</v>
      </c>
      <c r="BB253" s="3" t="s">
        <v>3368</v>
      </c>
      <c r="BC253" s="3" t="s">
        <v>3369</v>
      </c>
      <c r="BD253" s="3" t="s">
        <v>3370</v>
      </c>
    </row>
    <row r="254" spans="1:56" ht="45" customHeight="1" x14ac:dyDescent="0.25">
      <c r="A254" s="8" t="s">
        <v>58</v>
      </c>
      <c r="B254" s="2" t="s">
        <v>3371</v>
      </c>
      <c r="C254" s="2" t="s">
        <v>3372</v>
      </c>
      <c r="D254" s="2" t="s">
        <v>3373</v>
      </c>
      <c r="F254" s="3" t="s">
        <v>58</v>
      </c>
      <c r="G254" s="3" t="s">
        <v>59</v>
      </c>
      <c r="H254" s="3" t="s">
        <v>58</v>
      </c>
      <c r="I254" s="3" t="s">
        <v>58</v>
      </c>
      <c r="J254" s="3" t="s">
        <v>60</v>
      </c>
      <c r="L254" s="2" t="s">
        <v>3374</v>
      </c>
      <c r="M254" s="3" t="s">
        <v>681</v>
      </c>
      <c r="O254" s="3" t="s">
        <v>64</v>
      </c>
      <c r="P254" s="3" t="s">
        <v>177</v>
      </c>
      <c r="Q254" s="2" t="s">
        <v>3375</v>
      </c>
      <c r="R254" s="3" t="s">
        <v>66</v>
      </c>
      <c r="S254" s="4">
        <v>2</v>
      </c>
      <c r="T254" s="4">
        <v>2</v>
      </c>
      <c r="U254" s="5" t="s">
        <v>2694</v>
      </c>
      <c r="V254" s="5" t="s">
        <v>2694</v>
      </c>
      <c r="W254" s="5" t="s">
        <v>3376</v>
      </c>
      <c r="X254" s="5" t="s">
        <v>3376</v>
      </c>
      <c r="Y254" s="4">
        <v>337</v>
      </c>
      <c r="Z254" s="4">
        <v>250</v>
      </c>
      <c r="AA254" s="4">
        <v>436</v>
      </c>
      <c r="AB254" s="4">
        <v>3</v>
      </c>
      <c r="AC254" s="4">
        <v>5</v>
      </c>
      <c r="AD254" s="4">
        <v>9</v>
      </c>
      <c r="AE254" s="4">
        <v>18</v>
      </c>
      <c r="AF254" s="4">
        <v>2</v>
      </c>
      <c r="AG254" s="4">
        <v>9</v>
      </c>
      <c r="AH254" s="4">
        <v>0</v>
      </c>
      <c r="AI254" s="4">
        <v>0</v>
      </c>
      <c r="AJ254" s="4">
        <v>7</v>
      </c>
      <c r="AK254" s="4">
        <v>10</v>
      </c>
      <c r="AL254" s="4">
        <v>2</v>
      </c>
      <c r="AM254" s="4">
        <v>4</v>
      </c>
      <c r="AN254" s="4">
        <v>0</v>
      </c>
      <c r="AO254" s="4">
        <v>0</v>
      </c>
      <c r="AP254" s="3" t="s">
        <v>58</v>
      </c>
      <c r="AQ254" s="3" t="s">
        <v>58</v>
      </c>
      <c r="AS254" s="6" t="str">
        <f>HYPERLINK("https://creighton-primo.hosted.exlibrisgroup.com/primo-explore/search?tab=default_tab&amp;search_scope=EVERYTHING&amp;vid=01CRU&amp;lang=en_US&amp;offset=0&amp;query=any,contains,991000149539702656","Catalog Record")</f>
        <v>Catalog Record</v>
      </c>
      <c r="AT254" s="6" t="str">
        <f>HYPERLINK("http://www.worldcat.org/oclc/9197484","WorldCat Record")</f>
        <v>WorldCat Record</v>
      </c>
      <c r="AU254" s="3" t="s">
        <v>3377</v>
      </c>
      <c r="AV254" s="3" t="s">
        <v>3378</v>
      </c>
      <c r="AW254" s="3" t="s">
        <v>3379</v>
      </c>
      <c r="AX254" s="3" t="s">
        <v>3379</v>
      </c>
      <c r="AY254" s="3" t="s">
        <v>3380</v>
      </c>
      <c r="AZ254" s="3" t="s">
        <v>73</v>
      </c>
      <c r="BB254" s="3" t="s">
        <v>3381</v>
      </c>
      <c r="BC254" s="3" t="s">
        <v>3382</v>
      </c>
      <c r="BD254" s="3" t="s">
        <v>3383</v>
      </c>
    </row>
    <row r="255" spans="1:56" ht="45" customHeight="1" x14ac:dyDescent="0.25">
      <c r="A255" s="8" t="s">
        <v>58</v>
      </c>
      <c r="B255" s="2" t="s">
        <v>3384</v>
      </c>
      <c r="C255" s="2" t="s">
        <v>3385</v>
      </c>
      <c r="D255" s="2" t="s">
        <v>3386</v>
      </c>
      <c r="F255" s="3" t="s">
        <v>58</v>
      </c>
      <c r="G255" s="3" t="s">
        <v>59</v>
      </c>
      <c r="H255" s="3" t="s">
        <v>58</v>
      </c>
      <c r="I255" s="3" t="s">
        <v>58</v>
      </c>
      <c r="J255" s="3" t="s">
        <v>60</v>
      </c>
      <c r="L255" s="2" t="s">
        <v>3387</v>
      </c>
      <c r="M255" s="3" t="s">
        <v>3388</v>
      </c>
      <c r="N255" s="2" t="s">
        <v>567</v>
      </c>
      <c r="O255" s="3" t="s">
        <v>64</v>
      </c>
      <c r="P255" s="3" t="s">
        <v>147</v>
      </c>
      <c r="R255" s="3" t="s">
        <v>66</v>
      </c>
      <c r="S255" s="4">
        <v>4</v>
      </c>
      <c r="T255" s="4">
        <v>4</v>
      </c>
      <c r="U255" s="5" t="s">
        <v>3389</v>
      </c>
      <c r="V255" s="5" t="s">
        <v>3389</v>
      </c>
      <c r="W255" s="5" t="s">
        <v>3390</v>
      </c>
      <c r="X255" s="5" t="s">
        <v>3390</v>
      </c>
      <c r="Y255" s="4">
        <v>367</v>
      </c>
      <c r="Z255" s="4">
        <v>275</v>
      </c>
      <c r="AA255" s="4">
        <v>546</v>
      </c>
      <c r="AB255" s="4">
        <v>2</v>
      </c>
      <c r="AC255" s="4">
        <v>3</v>
      </c>
      <c r="AD255" s="4">
        <v>12</v>
      </c>
      <c r="AE255" s="4">
        <v>27</v>
      </c>
      <c r="AF255" s="4">
        <v>5</v>
      </c>
      <c r="AG255" s="4">
        <v>12</v>
      </c>
      <c r="AH255" s="4">
        <v>3</v>
      </c>
      <c r="AI255" s="4">
        <v>5</v>
      </c>
      <c r="AJ255" s="4">
        <v>8</v>
      </c>
      <c r="AK255" s="4">
        <v>14</v>
      </c>
      <c r="AL255" s="4">
        <v>1</v>
      </c>
      <c r="AM255" s="4">
        <v>2</v>
      </c>
      <c r="AN255" s="4">
        <v>0</v>
      </c>
      <c r="AO255" s="4">
        <v>0</v>
      </c>
      <c r="AP255" s="3" t="s">
        <v>58</v>
      </c>
      <c r="AQ255" s="3" t="s">
        <v>58</v>
      </c>
      <c r="AS255" s="6" t="str">
        <f>HYPERLINK("https://creighton-primo.hosted.exlibrisgroup.com/primo-explore/search?tab=default_tab&amp;search_scope=EVERYTHING&amp;vid=01CRU&amp;lang=en_US&amp;offset=0&amp;query=any,contains,991005052789702656","Catalog Record")</f>
        <v>Catalog Record</v>
      </c>
      <c r="AT255" s="6" t="str">
        <f>HYPERLINK("http://www.worldcat.org/oclc/55679952","WorldCat Record")</f>
        <v>WorldCat Record</v>
      </c>
      <c r="AU255" s="3" t="s">
        <v>3391</v>
      </c>
      <c r="AV255" s="3" t="s">
        <v>3392</v>
      </c>
      <c r="AW255" s="3" t="s">
        <v>3393</v>
      </c>
      <c r="AX255" s="3" t="s">
        <v>3393</v>
      </c>
      <c r="AY255" s="3" t="s">
        <v>3394</v>
      </c>
      <c r="AZ255" s="3" t="s">
        <v>73</v>
      </c>
      <c r="BB255" s="3" t="s">
        <v>3395</v>
      </c>
      <c r="BC255" s="3" t="s">
        <v>3396</v>
      </c>
      <c r="BD255" s="3" t="s">
        <v>3397</v>
      </c>
    </row>
    <row r="256" spans="1:56" ht="45" customHeight="1" x14ac:dyDescent="0.25">
      <c r="A256" s="8" t="s">
        <v>58</v>
      </c>
      <c r="B256" s="2" t="s">
        <v>3398</v>
      </c>
      <c r="C256" s="2" t="s">
        <v>3399</v>
      </c>
      <c r="D256" s="2" t="s">
        <v>3400</v>
      </c>
      <c r="F256" s="3" t="s">
        <v>58</v>
      </c>
      <c r="G256" s="3" t="s">
        <v>59</v>
      </c>
      <c r="H256" s="3" t="s">
        <v>58</v>
      </c>
      <c r="I256" s="3" t="s">
        <v>58</v>
      </c>
      <c r="J256" s="3" t="s">
        <v>60</v>
      </c>
      <c r="K256" s="2" t="s">
        <v>3401</v>
      </c>
      <c r="L256" s="2" t="s">
        <v>3402</v>
      </c>
      <c r="M256" s="3" t="s">
        <v>176</v>
      </c>
      <c r="N256" s="2" t="s">
        <v>567</v>
      </c>
      <c r="O256" s="3" t="s">
        <v>64</v>
      </c>
      <c r="P256" s="3" t="s">
        <v>177</v>
      </c>
      <c r="Q256" s="2" t="s">
        <v>3403</v>
      </c>
      <c r="R256" s="3" t="s">
        <v>66</v>
      </c>
      <c r="S256" s="4">
        <v>5</v>
      </c>
      <c r="T256" s="4">
        <v>5</v>
      </c>
      <c r="U256" s="5" t="s">
        <v>3404</v>
      </c>
      <c r="V256" s="5" t="s">
        <v>3404</v>
      </c>
      <c r="W256" s="5" t="s">
        <v>3405</v>
      </c>
      <c r="X256" s="5" t="s">
        <v>3405</v>
      </c>
      <c r="Y256" s="4">
        <v>249</v>
      </c>
      <c r="Z256" s="4">
        <v>209</v>
      </c>
      <c r="AA256" s="4">
        <v>423</v>
      </c>
      <c r="AB256" s="4">
        <v>1</v>
      </c>
      <c r="AC256" s="4">
        <v>3</v>
      </c>
      <c r="AD256" s="4">
        <v>13</v>
      </c>
      <c r="AE256" s="4">
        <v>19</v>
      </c>
      <c r="AF256" s="4">
        <v>6</v>
      </c>
      <c r="AG256" s="4">
        <v>8</v>
      </c>
      <c r="AH256" s="4">
        <v>2</v>
      </c>
      <c r="AI256" s="4">
        <v>3</v>
      </c>
      <c r="AJ256" s="4">
        <v>8</v>
      </c>
      <c r="AK256" s="4">
        <v>12</v>
      </c>
      <c r="AL256" s="4">
        <v>0</v>
      </c>
      <c r="AM256" s="4">
        <v>1</v>
      </c>
      <c r="AN256" s="4">
        <v>0</v>
      </c>
      <c r="AO256" s="4">
        <v>0</v>
      </c>
      <c r="AP256" s="3" t="s">
        <v>58</v>
      </c>
      <c r="AQ256" s="3" t="s">
        <v>58</v>
      </c>
      <c r="AS256" s="6" t="str">
        <f>HYPERLINK("https://creighton-primo.hosted.exlibrisgroup.com/primo-explore/search?tab=default_tab&amp;search_scope=EVERYTHING&amp;vid=01CRU&amp;lang=en_US&amp;offset=0&amp;query=any,contains,991002173029702656","Catalog Record")</f>
        <v>Catalog Record</v>
      </c>
      <c r="AT256" s="6" t="str">
        <f>HYPERLINK("http://www.worldcat.org/oclc/27974730","WorldCat Record")</f>
        <v>WorldCat Record</v>
      </c>
      <c r="AU256" s="3" t="s">
        <v>3406</v>
      </c>
      <c r="AV256" s="3" t="s">
        <v>3407</v>
      </c>
      <c r="AW256" s="3" t="s">
        <v>3408</v>
      </c>
      <c r="AX256" s="3" t="s">
        <v>3408</v>
      </c>
      <c r="AY256" s="3" t="s">
        <v>3409</v>
      </c>
      <c r="AZ256" s="3" t="s">
        <v>73</v>
      </c>
      <c r="BB256" s="3" t="s">
        <v>3410</v>
      </c>
      <c r="BC256" s="3" t="s">
        <v>3411</v>
      </c>
      <c r="BD256" s="3" t="s">
        <v>3412</v>
      </c>
    </row>
    <row r="257" spans="1:56" ht="45" customHeight="1" x14ac:dyDescent="0.25">
      <c r="A257" s="8" t="s">
        <v>58</v>
      </c>
      <c r="B257" s="2" t="s">
        <v>3413</v>
      </c>
      <c r="C257" s="2" t="s">
        <v>3414</v>
      </c>
      <c r="D257" s="2" t="s">
        <v>3415</v>
      </c>
      <c r="F257" s="3" t="s">
        <v>58</v>
      </c>
      <c r="G257" s="3" t="s">
        <v>59</v>
      </c>
      <c r="H257" s="3" t="s">
        <v>58</v>
      </c>
      <c r="I257" s="3" t="s">
        <v>58</v>
      </c>
      <c r="J257" s="3" t="s">
        <v>60</v>
      </c>
      <c r="K257" s="2" t="s">
        <v>3416</v>
      </c>
      <c r="L257" s="2" t="s">
        <v>3417</v>
      </c>
      <c r="M257" s="3" t="s">
        <v>407</v>
      </c>
      <c r="N257" s="2" t="s">
        <v>63</v>
      </c>
      <c r="O257" s="3" t="s">
        <v>64</v>
      </c>
      <c r="P257" s="3" t="s">
        <v>65</v>
      </c>
      <c r="Q257" s="2" t="s">
        <v>3418</v>
      </c>
      <c r="R257" s="3" t="s">
        <v>66</v>
      </c>
      <c r="S257" s="4">
        <v>4</v>
      </c>
      <c r="T257" s="4">
        <v>4</v>
      </c>
      <c r="U257" s="5" t="s">
        <v>3350</v>
      </c>
      <c r="V257" s="5" t="s">
        <v>3350</v>
      </c>
      <c r="W257" s="5" t="s">
        <v>3419</v>
      </c>
      <c r="X257" s="5" t="s">
        <v>3419</v>
      </c>
      <c r="Y257" s="4">
        <v>636</v>
      </c>
      <c r="Z257" s="4">
        <v>528</v>
      </c>
      <c r="AA257" s="4">
        <v>542</v>
      </c>
      <c r="AB257" s="4">
        <v>4</v>
      </c>
      <c r="AC257" s="4">
        <v>4</v>
      </c>
      <c r="AD257" s="4">
        <v>21</v>
      </c>
      <c r="AE257" s="4">
        <v>21</v>
      </c>
      <c r="AF257" s="4">
        <v>8</v>
      </c>
      <c r="AG257" s="4">
        <v>8</v>
      </c>
      <c r="AH257" s="4">
        <v>4</v>
      </c>
      <c r="AI257" s="4">
        <v>4</v>
      </c>
      <c r="AJ257" s="4">
        <v>11</v>
      </c>
      <c r="AK257" s="4">
        <v>11</v>
      </c>
      <c r="AL257" s="4">
        <v>3</v>
      </c>
      <c r="AM257" s="4">
        <v>3</v>
      </c>
      <c r="AN257" s="4">
        <v>0</v>
      </c>
      <c r="AO257" s="4">
        <v>0</v>
      </c>
      <c r="AP257" s="3" t="s">
        <v>58</v>
      </c>
      <c r="AQ257" s="3" t="s">
        <v>68</v>
      </c>
      <c r="AR257" s="6" t="str">
        <f>HYPERLINK("http://catalog.hathitrust.org/Record/000762621","HathiTrust Record")</f>
        <v>HathiTrust Record</v>
      </c>
      <c r="AS257" s="6" t="str">
        <f>HYPERLINK("https://creighton-primo.hosted.exlibrisgroup.com/primo-explore/search?tab=default_tab&amp;search_scope=EVERYTHING&amp;vid=01CRU&amp;lang=en_US&amp;offset=0&amp;query=any,contains,991004595899702656","Catalog Record")</f>
        <v>Catalog Record</v>
      </c>
      <c r="AT257" s="6" t="str">
        <f>HYPERLINK("http://www.worldcat.org/oclc/4136931","WorldCat Record")</f>
        <v>WorldCat Record</v>
      </c>
      <c r="AU257" s="3" t="s">
        <v>3420</v>
      </c>
      <c r="AV257" s="3" t="s">
        <v>3421</v>
      </c>
      <c r="AW257" s="3" t="s">
        <v>3422</v>
      </c>
      <c r="AX257" s="3" t="s">
        <v>3422</v>
      </c>
      <c r="AY257" s="3" t="s">
        <v>3423</v>
      </c>
      <c r="AZ257" s="3" t="s">
        <v>73</v>
      </c>
      <c r="BB257" s="3" t="s">
        <v>3424</v>
      </c>
      <c r="BC257" s="3" t="s">
        <v>3425</v>
      </c>
      <c r="BD257" s="3" t="s">
        <v>3426</v>
      </c>
    </row>
    <row r="258" spans="1:56" ht="45" customHeight="1" x14ac:dyDescent="0.25">
      <c r="A258" s="8" t="s">
        <v>58</v>
      </c>
      <c r="B258" s="2" t="s">
        <v>3427</v>
      </c>
      <c r="C258" s="2" t="s">
        <v>3428</v>
      </c>
      <c r="D258" s="2" t="s">
        <v>3429</v>
      </c>
      <c r="F258" s="3" t="s">
        <v>58</v>
      </c>
      <c r="G258" s="3" t="s">
        <v>59</v>
      </c>
      <c r="H258" s="3" t="s">
        <v>58</v>
      </c>
      <c r="I258" s="3" t="s">
        <v>58</v>
      </c>
      <c r="J258" s="3" t="s">
        <v>60</v>
      </c>
      <c r="K258" s="2" t="s">
        <v>3430</v>
      </c>
      <c r="L258" s="2" t="s">
        <v>3431</v>
      </c>
      <c r="M258" s="3" t="s">
        <v>176</v>
      </c>
      <c r="O258" s="3" t="s">
        <v>64</v>
      </c>
      <c r="P258" s="3" t="s">
        <v>65</v>
      </c>
      <c r="Q258" s="2" t="s">
        <v>3432</v>
      </c>
      <c r="R258" s="3" t="s">
        <v>66</v>
      </c>
      <c r="S258" s="4">
        <v>0</v>
      </c>
      <c r="T258" s="4">
        <v>0</v>
      </c>
      <c r="U258" s="5" t="s">
        <v>3433</v>
      </c>
      <c r="V258" s="5" t="s">
        <v>3433</v>
      </c>
      <c r="W258" s="5" t="s">
        <v>3434</v>
      </c>
      <c r="X258" s="5" t="s">
        <v>3434</v>
      </c>
      <c r="Y258" s="4">
        <v>306</v>
      </c>
      <c r="Z258" s="4">
        <v>229</v>
      </c>
      <c r="AA258" s="4">
        <v>230</v>
      </c>
      <c r="AB258" s="4">
        <v>1</v>
      </c>
      <c r="AC258" s="4">
        <v>1</v>
      </c>
      <c r="AD258" s="4">
        <v>17</v>
      </c>
      <c r="AE258" s="4">
        <v>17</v>
      </c>
      <c r="AF258" s="4">
        <v>6</v>
      </c>
      <c r="AG258" s="4">
        <v>6</v>
      </c>
      <c r="AH258" s="4">
        <v>6</v>
      </c>
      <c r="AI258" s="4">
        <v>6</v>
      </c>
      <c r="AJ258" s="4">
        <v>12</v>
      </c>
      <c r="AK258" s="4">
        <v>12</v>
      </c>
      <c r="AL258" s="4">
        <v>0</v>
      </c>
      <c r="AM258" s="4">
        <v>0</v>
      </c>
      <c r="AN258" s="4">
        <v>0</v>
      </c>
      <c r="AO258" s="4">
        <v>0</v>
      </c>
      <c r="AP258" s="3" t="s">
        <v>58</v>
      </c>
      <c r="AQ258" s="3" t="s">
        <v>68</v>
      </c>
      <c r="AR258" s="6" t="str">
        <f>HYPERLINK("http://catalog.hathitrust.org/Record/101945189","HathiTrust Record")</f>
        <v>HathiTrust Record</v>
      </c>
      <c r="AS258" s="6" t="str">
        <f>HYPERLINK("https://creighton-primo.hosted.exlibrisgroup.com/primo-explore/search?tab=default_tab&amp;search_scope=EVERYTHING&amp;vid=01CRU&amp;lang=en_US&amp;offset=0&amp;query=any,contains,991002097229702656","Catalog Record")</f>
        <v>Catalog Record</v>
      </c>
      <c r="AT258" s="6" t="str">
        <f>HYPERLINK("http://www.worldcat.org/oclc/26895455","WorldCat Record")</f>
        <v>WorldCat Record</v>
      </c>
      <c r="AU258" s="3" t="s">
        <v>3435</v>
      </c>
      <c r="AV258" s="3" t="s">
        <v>3436</v>
      </c>
      <c r="AW258" s="3" t="s">
        <v>3437</v>
      </c>
      <c r="AX258" s="3" t="s">
        <v>3437</v>
      </c>
      <c r="AY258" s="3" t="s">
        <v>3438</v>
      </c>
      <c r="AZ258" s="3" t="s">
        <v>73</v>
      </c>
      <c r="BB258" s="3" t="s">
        <v>3439</v>
      </c>
      <c r="BC258" s="3" t="s">
        <v>3440</v>
      </c>
      <c r="BD258" s="3" t="s">
        <v>3441</v>
      </c>
    </row>
    <row r="259" spans="1:56" ht="45" customHeight="1" x14ac:dyDescent="0.25">
      <c r="A259" s="8" t="s">
        <v>58</v>
      </c>
      <c r="B259" s="2" t="s">
        <v>3442</v>
      </c>
      <c r="C259" s="2" t="s">
        <v>3443</v>
      </c>
      <c r="D259" s="2" t="s">
        <v>3444</v>
      </c>
      <c r="F259" s="3" t="s">
        <v>58</v>
      </c>
      <c r="G259" s="3" t="s">
        <v>59</v>
      </c>
      <c r="H259" s="3" t="s">
        <v>58</v>
      </c>
      <c r="I259" s="3" t="s">
        <v>58</v>
      </c>
      <c r="J259" s="3" t="s">
        <v>60</v>
      </c>
      <c r="K259" s="2" t="s">
        <v>3445</v>
      </c>
      <c r="L259" s="2" t="s">
        <v>3446</v>
      </c>
      <c r="M259" s="3" t="s">
        <v>176</v>
      </c>
      <c r="O259" s="3" t="s">
        <v>64</v>
      </c>
      <c r="P259" s="3" t="s">
        <v>422</v>
      </c>
      <c r="R259" s="3" t="s">
        <v>66</v>
      </c>
      <c r="S259" s="4">
        <v>4</v>
      </c>
      <c r="T259" s="4">
        <v>4</v>
      </c>
      <c r="U259" s="5" t="s">
        <v>3447</v>
      </c>
      <c r="V259" s="5" t="s">
        <v>3447</v>
      </c>
      <c r="W259" s="5" t="s">
        <v>3448</v>
      </c>
      <c r="X259" s="5" t="s">
        <v>3448</v>
      </c>
      <c r="Y259" s="4">
        <v>412</v>
      </c>
      <c r="Z259" s="4">
        <v>380</v>
      </c>
      <c r="AA259" s="4">
        <v>385</v>
      </c>
      <c r="AB259" s="4">
        <v>3</v>
      </c>
      <c r="AC259" s="4">
        <v>3</v>
      </c>
      <c r="AD259" s="4">
        <v>15</v>
      </c>
      <c r="AE259" s="4">
        <v>15</v>
      </c>
      <c r="AF259" s="4">
        <v>4</v>
      </c>
      <c r="AG259" s="4">
        <v>4</v>
      </c>
      <c r="AH259" s="4">
        <v>3</v>
      </c>
      <c r="AI259" s="4">
        <v>3</v>
      </c>
      <c r="AJ259" s="4">
        <v>9</v>
      </c>
      <c r="AK259" s="4">
        <v>9</v>
      </c>
      <c r="AL259" s="4">
        <v>2</v>
      </c>
      <c r="AM259" s="4">
        <v>2</v>
      </c>
      <c r="AN259" s="4">
        <v>0</v>
      </c>
      <c r="AO259" s="4">
        <v>0</v>
      </c>
      <c r="AP259" s="3" t="s">
        <v>58</v>
      </c>
      <c r="AQ259" s="3" t="s">
        <v>58</v>
      </c>
      <c r="AS259" s="6" t="str">
        <f>HYPERLINK("https://creighton-primo.hosted.exlibrisgroup.com/primo-explore/search?tab=default_tab&amp;search_scope=EVERYTHING&amp;vid=01CRU&amp;lang=en_US&amp;offset=0&amp;query=any,contains,991002085129702656","Catalog Record")</f>
        <v>Catalog Record</v>
      </c>
      <c r="AT259" s="6" t="str">
        <f>HYPERLINK("http://www.worldcat.org/oclc/26762720","WorldCat Record")</f>
        <v>WorldCat Record</v>
      </c>
      <c r="AU259" s="3" t="s">
        <v>3449</v>
      </c>
      <c r="AV259" s="3" t="s">
        <v>3450</v>
      </c>
      <c r="AW259" s="3" t="s">
        <v>3451</v>
      </c>
      <c r="AX259" s="3" t="s">
        <v>3451</v>
      </c>
      <c r="AY259" s="3" t="s">
        <v>3452</v>
      </c>
      <c r="AZ259" s="3" t="s">
        <v>73</v>
      </c>
      <c r="BB259" s="3" t="s">
        <v>3453</v>
      </c>
      <c r="BC259" s="3" t="s">
        <v>3454</v>
      </c>
      <c r="BD259" s="3" t="s">
        <v>3455</v>
      </c>
    </row>
    <row r="260" spans="1:56" ht="45" customHeight="1" x14ac:dyDescent="0.25">
      <c r="A260" s="8" t="s">
        <v>58</v>
      </c>
      <c r="B260" s="2" t="s">
        <v>3456</v>
      </c>
      <c r="C260" s="2" t="s">
        <v>3457</v>
      </c>
      <c r="D260" s="2" t="s">
        <v>3458</v>
      </c>
      <c r="F260" s="3" t="s">
        <v>58</v>
      </c>
      <c r="G260" s="3" t="s">
        <v>59</v>
      </c>
      <c r="H260" s="3" t="s">
        <v>68</v>
      </c>
      <c r="I260" s="3" t="s">
        <v>58</v>
      </c>
      <c r="J260" s="3" t="s">
        <v>60</v>
      </c>
      <c r="K260" s="2" t="s">
        <v>3459</v>
      </c>
      <c r="L260" s="2" t="s">
        <v>3460</v>
      </c>
      <c r="M260" s="3" t="s">
        <v>306</v>
      </c>
      <c r="N260" s="2" t="s">
        <v>791</v>
      </c>
      <c r="O260" s="3" t="s">
        <v>64</v>
      </c>
      <c r="P260" s="3" t="s">
        <v>177</v>
      </c>
      <c r="R260" s="3" t="s">
        <v>66</v>
      </c>
      <c r="S260" s="4">
        <v>0</v>
      </c>
      <c r="T260" s="4">
        <v>2</v>
      </c>
      <c r="V260" s="5" t="s">
        <v>3461</v>
      </c>
      <c r="W260" s="5" t="s">
        <v>236</v>
      </c>
      <c r="X260" s="5" t="s">
        <v>236</v>
      </c>
      <c r="Y260" s="4">
        <v>1092</v>
      </c>
      <c r="Z260" s="4">
        <v>999</v>
      </c>
      <c r="AA260" s="4">
        <v>1077</v>
      </c>
      <c r="AB260" s="4">
        <v>8</v>
      </c>
      <c r="AC260" s="4">
        <v>9</v>
      </c>
      <c r="AD260" s="4">
        <v>28</v>
      </c>
      <c r="AE260" s="4">
        <v>32</v>
      </c>
      <c r="AF260" s="4">
        <v>12</v>
      </c>
      <c r="AG260" s="4">
        <v>14</v>
      </c>
      <c r="AH260" s="4">
        <v>5</v>
      </c>
      <c r="AI260" s="4">
        <v>5</v>
      </c>
      <c r="AJ260" s="4">
        <v>13</v>
      </c>
      <c r="AK260" s="4">
        <v>15</v>
      </c>
      <c r="AL260" s="4">
        <v>4</v>
      </c>
      <c r="AM260" s="4">
        <v>5</v>
      </c>
      <c r="AN260" s="4">
        <v>0</v>
      </c>
      <c r="AO260" s="4">
        <v>0</v>
      </c>
      <c r="AP260" s="3" t="s">
        <v>58</v>
      </c>
      <c r="AQ260" s="3" t="s">
        <v>68</v>
      </c>
      <c r="AR260" s="6" t="str">
        <f>HYPERLINK("http://catalog.hathitrust.org/Record/001570988","HathiTrust Record")</f>
        <v>HathiTrust Record</v>
      </c>
      <c r="AS260" s="6" t="str">
        <f>HYPERLINK("https://creighton-primo.hosted.exlibrisgroup.com/primo-explore/search?tab=default_tab&amp;search_scope=EVERYTHING&amp;vid=01CRU&amp;lang=en_US&amp;offset=0&amp;query=any,contains,991001790639702656","Catalog Record")</f>
        <v>Catalog Record</v>
      </c>
      <c r="AT260" s="6" t="str">
        <f>HYPERLINK("http://www.worldcat.org/oclc/700655","WorldCat Record")</f>
        <v>WorldCat Record</v>
      </c>
      <c r="AU260" s="3" t="s">
        <v>3462</v>
      </c>
      <c r="AV260" s="3" t="s">
        <v>3463</v>
      </c>
      <c r="AW260" s="3" t="s">
        <v>3464</v>
      </c>
      <c r="AX260" s="3" t="s">
        <v>3464</v>
      </c>
      <c r="AY260" s="3" t="s">
        <v>3465</v>
      </c>
      <c r="AZ260" s="3" t="s">
        <v>73</v>
      </c>
      <c r="BB260" s="3" t="s">
        <v>3466</v>
      </c>
      <c r="BC260" s="3" t="s">
        <v>3467</v>
      </c>
      <c r="BD260" s="3" t="s">
        <v>3468</v>
      </c>
    </row>
    <row r="261" spans="1:56" ht="45" customHeight="1" x14ac:dyDescent="0.25">
      <c r="A261" s="8" t="s">
        <v>58</v>
      </c>
      <c r="B261" s="2" t="s">
        <v>3469</v>
      </c>
      <c r="C261" s="2" t="s">
        <v>3470</v>
      </c>
      <c r="D261" s="2" t="s">
        <v>3471</v>
      </c>
      <c r="F261" s="3" t="s">
        <v>58</v>
      </c>
      <c r="G261" s="3" t="s">
        <v>59</v>
      </c>
      <c r="H261" s="3" t="s">
        <v>68</v>
      </c>
      <c r="I261" s="3" t="s">
        <v>58</v>
      </c>
      <c r="J261" s="3" t="s">
        <v>60</v>
      </c>
      <c r="L261" s="2" t="s">
        <v>2318</v>
      </c>
      <c r="M261" s="3" t="s">
        <v>480</v>
      </c>
      <c r="O261" s="3" t="s">
        <v>64</v>
      </c>
      <c r="P261" s="3" t="s">
        <v>99</v>
      </c>
      <c r="R261" s="3" t="s">
        <v>66</v>
      </c>
      <c r="S261" s="4">
        <v>2</v>
      </c>
      <c r="T261" s="4">
        <v>2</v>
      </c>
      <c r="U261" s="5" t="s">
        <v>3472</v>
      </c>
      <c r="V261" s="5" t="s">
        <v>3472</v>
      </c>
      <c r="W261" s="5" t="s">
        <v>3473</v>
      </c>
      <c r="X261" s="5" t="s">
        <v>3473</v>
      </c>
      <c r="Y261" s="4">
        <v>111</v>
      </c>
      <c r="Z261" s="4">
        <v>98</v>
      </c>
      <c r="AA261" s="4">
        <v>98</v>
      </c>
      <c r="AB261" s="4">
        <v>3</v>
      </c>
      <c r="AC261" s="4">
        <v>3</v>
      </c>
      <c r="AD261" s="4">
        <v>4</v>
      </c>
      <c r="AE261" s="4">
        <v>4</v>
      </c>
      <c r="AF261" s="4">
        <v>0</v>
      </c>
      <c r="AG261" s="4">
        <v>0</v>
      </c>
      <c r="AH261" s="4">
        <v>1</v>
      </c>
      <c r="AI261" s="4">
        <v>1</v>
      </c>
      <c r="AJ261" s="4">
        <v>2</v>
      </c>
      <c r="AK261" s="4">
        <v>2</v>
      </c>
      <c r="AL261" s="4">
        <v>1</v>
      </c>
      <c r="AM261" s="4">
        <v>1</v>
      </c>
      <c r="AN261" s="4">
        <v>0</v>
      </c>
      <c r="AO261" s="4">
        <v>0</v>
      </c>
      <c r="AP261" s="3" t="s">
        <v>58</v>
      </c>
      <c r="AQ261" s="3" t="s">
        <v>58</v>
      </c>
      <c r="AS261" s="6" t="str">
        <f>HYPERLINK("https://creighton-primo.hosted.exlibrisgroup.com/primo-explore/search?tab=default_tab&amp;search_scope=EVERYTHING&amp;vid=01CRU&amp;lang=en_US&amp;offset=0&amp;query=any,contains,991005227129702656","Catalog Record")</f>
        <v>Catalog Record</v>
      </c>
      <c r="AT261" s="6" t="str">
        <f>HYPERLINK("http://www.worldcat.org/oclc/8283656","WorldCat Record")</f>
        <v>WorldCat Record</v>
      </c>
      <c r="AU261" s="3" t="s">
        <v>3474</v>
      </c>
      <c r="AV261" s="3" t="s">
        <v>3475</v>
      </c>
      <c r="AW261" s="3" t="s">
        <v>3476</v>
      </c>
      <c r="AX261" s="3" t="s">
        <v>3476</v>
      </c>
      <c r="AY261" s="3" t="s">
        <v>3477</v>
      </c>
      <c r="AZ261" s="3" t="s">
        <v>73</v>
      </c>
      <c r="BB261" s="3" t="s">
        <v>3478</v>
      </c>
      <c r="BC261" s="3" t="s">
        <v>3479</v>
      </c>
      <c r="BD261" s="3" t="s">
        <v>3480</v>
      </c>
    </row>
    <row r="262" spans="1:56" ht="45" customHeight="1" x14ac:dyDescent="0.25">
      <c r="A262" s="8" t="s">
        <v>58</v>
      </c>
      <c r="B262" s="2" t="s">
        <v>3481</v>
      </c>
      <c r="C262" s="2" t="s">
        <v>3482</v>
      </c>
      <c r="D262" s="2" t="s">
        <v>3483</v>
      </c>
      <c r="F262" s="3" t="s">
        <v>58</v>
      </c>
      <c r="G262" s="3" t="s">
        <v>59</v>
      </c>
      <c r="H262" s="3" t="s">
        <v>58</v>
      </c>
      <c r="I262" s="3" t="s">
        <v>58</v>
      </c>
      <c r="J262" s="3" t="s">
        <v>60</v>
      </c>
      <c r="L262" s="2" t="s">
        <v>3484</v>
      </c>
      <c r="M262" s="3" t="s">
        <v>219</v>
      </c>
      <c r="O262" s="3" t="s">
        <v>64</v>
      </c>
      <c r="P262" s="3" t="s">
        <v>177</v>
      </c>
      <c r="R262" s="3" t="s">
        <v>66</v>
      </c>
      <c r="S262" s="4">
        <v>2</v>
      </c>
      <c r="T262" s="4">
        <v>2</v>
      </c>
      <c r="U262" s="5" t="s">
        <v>3485</v>
      </c>
      <c r="V262" s="5" t="s">
        <v>3485</v>
      </c>
      <c r="W262" s="5" t="s">
        <v>3486</v>
      </c>
      <c r="X262" s="5" t="s">
        <v>3486</v>
      </c>
      <c r="Y262" s="4">
        <v>12</v>
      </c>
      <c r="Z262" s="4">
        <v>9</v>
      </c>
      <c r="AA262" s="4">
        <v>14</v>
      </c>
      <c r="AB262" s="4">
        <v>1</v>
      </c>
      <c r="AC262" s="4">
        <v>1</v>
      </c>
      <c r="AD262" s="4">
        <v>0</v>
      </c>
      <c r="AE262" s="4">
        <v>1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1</v>
      </c>
      <c r="AL262" s="4">
        <v>0</v>
      </c>
      <c r="AM262" s="4">
        <v>0</v>
      </c>
      <c r="AN262" s="4">
        <v>0</v>
      </c>
      <c r="AO262" s="4">
        <v>0</v>
      </c>
      <c r="AP262" s="3" t="s">
        <v>58</v>
      </c>
      <c r="AQ262" s="3" t="s">
        <v>68</v>
      </c>
      <c r="AR262" s="6" t="str">
        <f>HYPERLINK("http://catalog.hathitrust.org/Record/002620304","HathiTrust Record")</f>
        <v>HathiTrust Record</v>
      </c>
      <c r="AS262" s="6" t="str">
        <f>HYPERLINK("https://creighton-primo.hosted.exlibrisgroup.com/primo-explore/search?tab=default_tab&amp;search_scope=EVERYTHING&amp;vid=01CRU&amp;lang=en_US&amp;offset=0&amp;query=any,contains,991002153279702656","Catalog Record")</f>
        <v>Catalog Record</v>
      </c>
      <c r="AT262" s="6" t="str">
        <f>HYPERLINK("http://www.worldcat.org/oclc/27756500","WorldCat Record")</f>
        <v>WorldCat Record</v>
      </c>
      <c r="AU262" s="3" t="s">
        <v>3487</v>
      </c>
      <c r="AV262" s="3" t="s">
        <v>3488</v>
      </c>
      <c r="AW262" s="3" t="s">
        <v>3489</v>
      </c>
      <c r="AX262" s="3" t="s">
        <v>3489</v>
      </c>
      <c r="AY262" s="3" t="s">
        <v>3490</v>
      </c>
      <c r="AZ262" s="3" t="s">
        <v>73</v>
      </c>
      <c r="BC262" s="3" t="s">
        <v>3491</v>
      </c>
      <c r="BD262" s="3" t="s">
        <v>3492</v>
      </c>
    </row>
    <row r="263" spans="1:56" ht="45" customHeight="1" x14ac:dyDescent="0.25">
      <c r="A263" s="8" t="s">
        <v>58</v>
      </c>
      <c r="B263" s="2" t="s">
        <v>3493</v>
      </c>
      <c r="C263" s="2" t="s">
        <v>3494</v>
      </c>
      <c r="D263" s="2" t="s">
        <v>3495</v>
      </c>
      <c r="F263" s="3" t="s">
        <v>58</v>
      </c>
      <c r="G263" s="3" t="s">
        <v>59</v>
      </c>
      <c r="H263" s="3" t="s">
        <v>68</v>
      </c>
      <c r="I263" s="3" t="s">
        <v>58</v>
      </c>
      <c r="J263" s="3" t="s">
        <v>60</v>
      </c>
      <c r="K263" s="2" t="s">
        <v>3496</v>
      </c>
      <c r="L263" s="2" t="s">
        <v>2563</v>
      </c>
      <c r="M263" s="3" t="s">
        <v>494</v>
      </c>
      <c r="O263" s="3" t="s">
        <v>64</v>
      </c>
      <c r="P263" s="3" t="s">
        <v>65</v>
      </c>
      <c r="Q263" s="2" t="s">
        <v>3497</v>
      </c>
      <c r="R263" s="3" t="s">
        <v>66</v>
      </c>
      <c r="S263" s="4">
        <v>2</v>
      </c>
      <c r="T263" s="4">
        <v>2</v>
      </c>
      <c r="U263" s="5" t="s">
        <v>3266</v>
      </c>
      <c r="V263" s="5" t="s">
        <v>3266</v>
      </c>
      <c r="W263" s="5" t="s">
        <v>2995</v>
      </c>
      <c r="X263" s="5" t="s">
        <v>2995</v>
      </c>
      <c r="Y263" s="4">
        <v>213</v>
      </c>
      <c r="Z263" s="4">
        <v>168</v>
      </c>
      <c r="AA263" s="4">
        <v>169</v>
      </c>
      <c r="AB263" s="4">
        <v>4</v>
      </c>
      <c r="AC263" s="4">
        <v>4</v>
      </c>
      <c r="AD263" s="4">
        <v>10</v>
      </c>
      <c r="AE263" s="4">
        <v>10</v>
      </c>
      <c r="AF263" s="4">
        <v>2</v>
      </c>
      <c r="AG263" s="4">
        <v>2</v>
      </c>
      <c r="AH263" s="4">
        <v>2</v>
      </c>
      <c r="AI263" s="4">
        <v>2</v>
      </c>
      <c r="AJ263" s="4">
        <v>5</v>
      </c>
      <c r="AK263" s="4">
        <v>5</v>
      </c>
      <c r="AL263" s="4">
        <v>2</v>
      </c>
      <c r="AM263" s="4">
        <v>2</v>
      </c>
      <c r="AN263" s="4">
        <v>0</v>
      </c>
      <c r="AO263" s="4">
        <v>0</v>
      </c>
      <c r="AP263" s="3" t="s">
        <v>58</v>
      </c>
      <c r="AQ263" s="3" t="s">
        <v>68</v>
      </c>
      <c r="AR263" s="6" t="str">
        <f>HYPERLINK("http://catalog.hathitrust.org/Record/000431758","HathiTrust Record")</f>
        <v>HathiTrust Record</v>
      </c>
      <c r="AS263" s="6" t="str">
        <f>HYPERLINK("https://creighton-primo.hosted.exlibrisgroup.com/primo-explore/search?tab=default_tab&amp;search_scope=EVERYTHING&amp;vid=01CRU&amp;lang=en_US&amp;offset=0&amp;query=any,contains,991000595279702656","Catalog Record")</f>
        <v>Catalog Record</v>
      </c>
      <c r="AT263" s="6" t="str">
        <f>HYPERLINK("http://www.worldcat.org/oclc/11812328","WorldCat Record")</f>
        <v>WorldCat Record</v>
      </c>
      <c r="AU263" s="3" t="s">
        <v>3498</v>
      </c>
      <c r="AV263" s="3" t="s">
        <v>3499</v>
      </c>
      <c r="AW263" s="3" t="s">
        <v>3500</v>
      </c>
      <c r="AX263" s="3" t="s">
        <v>3500</v>
      </c>
      <c r="AY263" s="3" t="s">
        <v>3501</v>
      </c>
      <c r="AZ263" s="3" t="s">
        <v>73</v>
      </c>
      <c r="BB263" s="3" t="s">
        <v>3502</v>
      </c>
      <c r="BC263" s="3" t="s">
        <v>3503</v>
      </c>
      <c r="BD263" s="3" t="s">
        <v>3504</v>
      </c>
    </row>
    <row r="264" spans="1:56" ht="45" customHeight="1" x14ac:dyDescent="0.25">
      <c r="A264" s="8" t="s">
        <v>58</v>
      </c>
      <c r="B264" s="2" t="s">
        <v>3505</v>
      </c>
      <c r="C264" s="2" t="s">
        <v>3506</v>
      </c>
      <c r="D264" s="2" t="s">
        <v>3507</v>
      </c>
      <c r="F264" s="3" t="s">
        <v>58</v>
      </c>
      <c r="G264" s="3" t="s">
        <v>59</v>
      </c>
      <c r="H264" s="3" t="s">
        <v>58</v>
      </c>
      <c r="I264" s="3" t="s">
        <v>58</v>
      </c>
      <c r="J264" s="3" t="s">
        <v>60</v>
      </c>
      <c r="L264" s="2" t="s">
        <v>2693</v>
      </c>
      <c r="M264" s="3" t="s">
        <v>82</v>
      </c>
      <c r="O264" s="3" t="s">
        <v>64</v>
      </c>
      <c r="P264" s="3" t="s">
        <v>177</v>
      </c>
      <c r="R264" s="3" t="s">
        <v>66</v>
      </c>
      <c r="S264" s="4">
        <v>3</v>
      </c>
      <c r="T264" s="4">
        <v>3</v>
      </c>
      <c r="U264" s="5" t="s">
        <v>3508</v>
      </c>
      <c r="V264" s="5" t="s">
        <v>3508</v>
      </c>
      <c r="W264" s="5" t="s">
        <v>2876</v>
      </c>
      <c r="X264" s="5" t="s">
        <v>2876</v>
      </c>
      <c r="Y264" s="4">
        <v>308</v>
      </c>
      <c r="Z264" s="4">
        <v>231</v>
      </c>
      <c r="AA264" s="4">
        <v>236</v>
      </c>
      <c r="AB264" s="4">
        <v>3</v>
      </c>
      <c r="AC264" s="4">
        <v>3</v>
      </c>
      <c r="AD264" s="4">
        <v>11</v>
      </c>
      <c r="AE264" s="4">
        <v>11</v>
      </c>
      <c r="AF264" s="4">
        <v>2</v>
      </c>
      <c r="AG264" s="4">
        <v>2</v>
      </c>
      <c r="AH264" s="4">
        <v>2</v>
      </c>
      <c r="AI264" s="4">
        <v>2</v>
      </c>
      <c r="AJ264" s="4">
        <v>8</v>
      </c>
      <c r="AK264" s="4">
        <v>8</v>
      </c>
      <c r="AL264" s="4">
        <v>2</v>
      </c>
      <c r="AM264" s="4">
        <v>2</v>
      </c>
      <c r="AN264" s="4">
        <v>0</v>
      </c>
      <c r="AO264" s="4">
        <v>0</v>
      </c>
      <c r="AP264" s="3" t="s">
        <v>58</v>
      </c>
      <c r="AQ264" s="3" t="s">
        <v>68</v>
      </c>
      <c r="AR264" s="6" t="str">
        <f>HYPERLINK("http://catalog.hathitrust.org/Record/000025426","HathiTrust Record")</f>
        <v>HathiTrust Record</v>
      </c>
      <c r="AS264" s="6" t="str">
        <f>HYPERLINK("https://creighton-primo.hosted.exlibrisgroup.com/primo-explore/search?tab=default_tab&amp;search_scope=EVERYTHING&amp;vid=01CRU&amp;lang=en_US&amp;offset=0&amp;query=any,contains,991004363929702656","Catalog Record")</f>
        <v>Catalog Record</v>
      </c>
      <c r="AT264" s="6" t="str">
        <f>HYPERLINK("http://www.worldcat.org/oclc/3168591","WorldCat Record")</f>
        <v>WorldCat Record</v>
      </c>
      <c r="AU264" s="3" t="s">
        <v>3509</v>
      </c>
      <c r="AV264" s="3" t="s">
        <v>3510</v>
      </c>
      <c r="AW264" s="3" t="s">
        <v>3511</v>
      </c>
      <c r="AX264" s="3" t="s">
        <v>3511</v>
      </c>
      <c r="AY264" s="3" t="s">
        <v>3512</v>
      </c>
      <c r="AZ264" s="3" t="s">
        <v>73</v>
      </c>
      <c r="BB264" s="3" t="s">
        <v>3513</v>
      </c>
      <c r="BC264" s="3" t="s">
        <v>3514</v>
      </c>
      <c r="BD264" s="3" t="s">
        <v>3515</v>
      </c>
    </row>
    <row r="265" spans="1:56" ht="45" customHeight="1" x14ac:dyDescent="0.25">
      <c r="A265" s="8" t="s">
        <v>58</v>
      </c>
      <c r="B265" s="2" t="s">
        <v>3516</v>
      </c>
      <c r="C265" s="2" t="s">
        <v>3517</v>
      </c>
      <c r="D265" s="2" t="s">
        <v>3518</v>
      </c>
      <c r="E265" s="3" t="s">
        <v>1431</v>
      </c>
      <c r="F265" s="3" t="s">
        <v>68</v>
      </c>
      <c r="G265" s="3" t="s">
        <v>59</v>
      </c>
      <c r="H265" s="3" t="s">
        <v>58</v>
      </c>
      <c r="I265" s="3" t="s">
        <v>58</v>
      </c>
      <c r="J265" s="3" t="s">
        <v>60</v>
      </c>
      <c r="K265" s="2" t="s">
        <v>3519</v>
      </c>
      <c r="L265" s="2" t="s">
        <v>3520</v>
      </c>
      <c r="M265" s="3" t="s">
        <v>1013</v>
      </c>
      <c r="O265" s="3" t="s">
        <v>64</v>
      </c>
      <c r="P265" s="3" t="s">
        <v>65</v>
      </c>
      <c r="R265" s="3" t="s">
        <v>66</v>
      </c>
      <c r="S265" s="4">
        <v>1</v>
      </c>
      <c r="T265" s="4">
        <v>15</v>
      </c>
      <c r="U265" s="5" t="s">
        <v>3521</v>
      </c>
      <c r="V265" s="5" t="s">
        <v>3522</v>
      </c>
      <c r="W265" s="5" t="s">
        <v>3523</v>
      </c>
      <c r="X265" s="5" t="s">
        <v>3523</v>
      </c>
      <c r="Y265" s="4">
        <v>308</v>
      </c>
      <c r="Z265" s="4">
        <v>298</v>
      </c>
      <c r="AA265" s="4">
        <v>341</v>
      </c>
      <c r="AB265" s="4">
        <v>4</v>
      </c>
      <c r="AC265" s="4">
        <v>4</v>
      </c>
      <c r="AD265" s="4">
        <v>14</v>
      </c>
      <c r="AE265" s="4">
        <v>15</v>
      </c>
      <c r="AF265" s="4">
        <v>4</v>
      </c>
      <c r="AG265" s="4">
        <v>5</v>
      </c>
      <c r="AH265" s="4">
        <v>3</v>
      </c>
      <c r="AI265" s="4">
        <v>3</v>
      </c>
      <c r="AJ265" s="4">
        <v>8</v>
      </c>
      <c r="AK265" s="4">
        <v>8</v>
      </c>
      <c r="AL265" s="4">
        <v>3</v>
      </c>
      <c r="AM265" s="4">
        <v>3</v>
      </c>
      <c r="AN265" s="4">
        <v>0</v>
      </c>
      <c r="AO265" s="4">
        <v>0</v>
      </c>
      <c r="AP265" s="3" t="s">
        <v>58</v>
      </c>
      <c r="AQ265" s="3" t="s">
        <v>58</v>
      </c>
      <c r="AS265" s="6" t="str">
        <f>HYPERLINK("https://creighton-primo.hosted.exlibrisgroup.com/primo-explore/search?tab=default_tab&amp;search_scope=EVERYTHING&amp;vid=01CRU&amp;lang=en_US&amp;offset=0&amp;query=any,contains,991000741569702656","Catalog Record")</f>
        <v>Catalog Record</v>
      </c>
      <c r="AT265" s="6" t="str">
        <f>HYPERLINK("http://www.worldcat.org/oclc/12803412","WorldCat Record")</f>
        <v>WorldCat Record</v>
      </c>
      <c r="AU265" s="3" t="s">
        <v>3524</v>
      </c>
      <c r="AV265" s="3" t="s">
        <v>3525</v>
      </c>
      <c r="AW265" s="3" t="s">
        <v>3526</v>
      </c>
      <c r="AX265" s="3" t="s">
        <v>3526</v>
      </c>
      <c r="AY265" s="3" t="s">
        <v>3527</v>
      </c>
      <c r="AZ265" s="3" t="s">
        <v>73</v>
      </c>
      <c r="BB265" s="3" t="s">
        <v>3528</v>
      </c>
      <c r="BC265" s="3" t="s">
        <v>3529</v>
      </c>
      <c r="BD265" s="3" t="s">
        <v>3530</v>
      </c>
    </row>
    <row r="266" spans="1:56" ht="45" customHeight="1" x14ac:dyDescent="0.25">
      <c r="A266" s="8" t="s">
        <v>58</v>
      </c>
      <c r="B266" s="2" t="s">
        <v>3516</v>
      </c>
      <c r="C266" s="2" t="s">
        <v>3517</v>
      </c>
      <c r="D266" s="2" t="s">
        <v>3518</v>
      </c>
      <c r="E266" s="3" t="s">
        <v>550</v>
      </c>
      <c r="F266" s="3" t="s">
        <v>68</v>
      </c>
      <c r="G266" s="3" t="s">
        <v>59</v>
      </c>
      <c r="H266" s="3" t="s">
        <v>58</v>
      </c>
      <c r="I266" s="3" t="s">
        <v>58</v>
      </c>
      <c r="J266" s="3" t="s">
        <v>60</v>
      </c>
      <c r="K266" s="2" t="s">
        <v>3519</v>
      </c>
      <c r="L266" s="2" t="s">
        <v>3520</v>
      </c>
      <c r="M266" s="3" t="s">
        <v>1013</v>
      </c>
      <c r="O266" s="3" t="s">
        <v>64</v>
      </c>
      <c r="P266" s="3" t="s">
        <v>65</v>
      </c>
      <c r="R266" s="3" t="s">
        <v>66</v>
      </c>
      <c r="S266" s="4">
        <v>14</v>
      </c>
      <c r="T266" s="4">
        <v>15</v>
      </c>
      <c r="U266" s="5" t="s">
        <v>3522</v>
      </c>
      <c r="V266" s="5" t="s">
        <v>3522</v>
      </c>
      <c r="W266" s="5" t="s">
        <v>3523</v>
      </c>
      <c r="X266" s="5" t="s">
        <v>3523</v>
      </c>
      <c r="Y266" s="4">
        <v>308</v>
      </c>
      <c r="Z266" s="4">
        <v>298</v>
      </c>
      <c r="AA266" s="4">
        <v>341</v>
      </c>
      <c r="AB266" s="4">
        <v>4</v>
      </c>
      <c r="AC266" s="4">
        <v>4</v>
      </c>
      <c r="AD266" s="4">
        <v>14</v>
      </c>
      <c r="AE266" s="4">
        <v>15</v>
      </c>
      <c r="AF266" s="4">
        <v>4</v>
      </c>
      <c r="AG266" s="4">
        <v>5</v>
      </c>
      <c r="AH266" s="4">
        <v>3</v>
      </c>
      <c r="AI266" s="4">
        <v>3</v>
      </c>
      <c r="AJ266" s="4">
        <v>8</v>
      </c>
      <c r="AK266" s="4">
        <v>8</v>
      </c>
      <c r="AL266" s="4">
        <v>3</v>
      </c>
      <c r="AM266" s="4">
        <v>3</v>
      </c>
      <c r="AN266" s="4">
        <v>0</v>
      </c>
      <c r="AO266" s="4">
        <v>0</v>
      </c>
      <c r="AP266" s="3" t="s">
        <v>58</v>
      </c>
      <c r="AQ266" s="3" t="s">
        <v>58</v>
      </c>
      <c r="AS266" s="6" t="str">
        <f>HYPERLINK("https://creighton-primo.hosted.exlibrisgroup.com/primo-explore/search?tab=default_tab&amp;search_scope=EVERYTHING&amp;vid=01CRU&amp;lang=en_US&amp;offset=0&amp;query=any,contains,991000741569702656","Catalog Record")</f>
        <v>Catalog Record</v>
      </c>
      <c r="AT266" s="6" t="str">
        <f>HYPERLINK("http://www.worldcat.org/oclc/12803412","WorldCat Record")</f>
        <v>WorldCat Record</v>
      </c>
      <c r="AU266" s="3" t="s">
        <v>3524</v>
      </c>
      <c r="AV266" s="3" t="s">
        <v>3525</v>
      </c>
      <c r="AW266" s="3" t="s">
        <v>3526</v>
      </c>
      <c r="AX266" s="3" t="s">
        <v>3526</v>
      </c>
      <c r="AY266" s="3" t="s">
        <v>3527</v>
      </c>
      <c r="AZ266" s="3" t="s">
        <v>73</v>
      </c>
      <c r="BB266" s="3" t="s">
        <v>3528</v>
      </c>
      <c r="BC266" s="3" t="s">
        <v>3531</v>
      </c>
      <c r="BD266" s="3" t="s">
        <v>3532</v>
      </c>
    </row>
    <row r="267" spans="1:56" ht="45" customHeight="1" x14ac:dyDescent="0.25">
      <c r="A267" s="8" t="s">
        <v>58</v>
      </c>
      <c r="B267" s="2" t="s">
        <v>3533</v>
      </c>
      <c r="C267" s="2" t="s">
        <v>3534</v>
      </c>
      <c r="D267" s="2" t="s">
        <v>3535</v>
      </c>
      <c r="F267" s="3" t="s">
        <v>58</v>
      </c>
      <c r="G267" s="3" t="s">
        <v>59</v>
      </c>
      <c r="H267" s="3" t="s">
        <v>58</v>
      </c>
      <c r="I267" s="3" t="s">
        <v>58</v>
      </c>
      <c r="J267" s="3" t="s">
        <v>60</v>
      </c>
      <c r="L267" s="2" t="s">
        <v>3536</v>
      </c>
      <c r="M267" s="3" t="s">
        <v>407</v>
      </c>
      <c r="O267" s="3" t="s">
        <v>64</v>
      </c>
      <c r="P267" s="3" t="s">
        <v>177</v>
      </c>
      <c r="R267" s="3" t="s">
        <v>66</v>
      </c>
      <c r="S267" s="4">
        <v>1</v>
      </c>
      <c r="T267" s="4">
        <v>1</v>
      </c>
      <c r="U267" s="5" t="s">
        <v>3537</v>
      </c>
      <c r="V267" s="5" t="s">
        <v>3537</v>
      </c>
      <c r="W267" s="5" t="s">
        <v>2002</v>
      </c>
      <c r="X267" s="5" t="s">
        <v>2002</v>
      </c>
      <c r="Y267" s="4">
        <v>278</v>
      </c>
      <c r="Z267" s="4">
        <v>237</v>
      </c>
      <c r="AA267" s="4">
        <v>244</v>
      </c>
      <c r="AB267" s="4">
        <v>2</v>
      </c>
      <c r="AC267" s="4">
        <v>2</v>
      </c>
      <c r="AD267" s="4">
        <v>7</v>
      </c>
      <c r="AE267" s="4">
        <v>7</v>
      </c>
      <c r="AF267" s="4">
        <v>0</v>
      </c>
      <c r="AG267" s="4">
        <v>0</v>
      </c>
      <c r="AH267" s="4">
        <v>2</v>
      </c>
      <c r="AI267" s="4">
        <v>2</v>
      </c>
      <c r="AJ267" s="4">
        <v>5</v>
      </c>
      <c r="AK267" s="4">
        <v>5</v>
      </c>
      <c r="AL267" s="4">
        <v>1</v>
      </c>
      <c r="AM267" s="4">
        <v>1</v>
      </c>
      <c r="AN267" s="4">
        <v>0</v>
      </c>
      <c r="AO267" s="4">
        <v>0</v>
      </c>
      <c r="AP267" s="3" t="s">
        <v>58</v>
      </c>
      <c r="AQ267" s="3" t="s">
        <v>68</v>
      </c>
      <c r="AR267" s="6" t="str">
        <f>HYPERLINK("http://catalog.hathitrust.org/Record/006258196","HathiTrust Record")</f>
        <v>HathiTrust Record</v>
      </c>
      <c r="AS267" s="6" t="str">
        <f>HYPERLINK("https://creighton-primo.hosted.exlibrisgroup.com/primo-explore/search?tab=default_tab&amp;search_scope=EVERYTHING&amp;vid=01CRU&amp;lang=en_US&amp;offset=0&amp;query=any,contains,991004308319702656","Catalog Record")</f>
        <v>Catalog Record</v>
      </c>
      <c r="AT267" s="6" t="str">
        <f>HYPERLINK("http://www.worldcat.org/oclc/2985389","WorldCat Record")</f>
        <v>WorldCat Record</v>
      </c>
      <c r="AU267" s="3" t="s">
        <v>3538</v>
      </c>
      <c r="AV267" s="3" t="s">
        <v>3539</v>
      </c>
      <c r="AW267" s="3" t="s">
        <v>3540</v>
      </c>
      <c r="AX267" s="3" t="s">
        <v>3540</v>
      </c>
      <c r="AY267" s="3" t="s">
        <v>3541</v>
      </c>
      <c r="AZ267" s="3" t="s">
        <v>73</v>
      </c>
      <c r="BB267" s="3" t="s">
        <v>3542</v>
      </c>
      <c r="BC267" s="3" t="s">
        <v>3543</v>
      </c>
      <c r="BD267" s="3" t="s">
        <v>3544</v>
      </c>
    </row>
    <row r="268" spans="1:56" ht="45" customHeight="1" x14ac:dyDescent="0.25">
      <c r="A268" s="8" t="s">
        <v>58</v>
      </c>
      <c r="B268" s="2" t="s">
        <v>3545</v>
      </c>
      <c r="C268" s="2" t="s">
        <v>3546</v>
      </c>
      <c r="D268" s="2" t="s">
        <v>3547</v>
      </c>
      <c r="F268" s="3" t="s">
        <v>58</v>
      </c>
      <c r="G268" s="3" t="s">
        <v>59</v>
      </c>
      <c r="H268" s="3" t="s">
        <v>58</v>
      </c>
      <c r="I268" s="3" t="s">
        <v>58</v>
      </c>
      <c r="J268" s="3" t="s">
        <v>60</v>
      </c>
      <c r="K268" s="2" t="s">
        <v>3548</v>
      </c>
      <c r="L268" s="2" t="s">
        <v>3549</v>
      </c>
      <c r="M268" s="3" t="s">
        <v>350</v>
      </c>
      <c r="O268" s="3" t="s">
        <v>64</v>
      </c>
      <c r="P268" s="3" t="s">
        <v>99</v>
      </c>
      <c r="R268" s="3" t="s">
        <v>66</v>
      </c>
      <c r="S268" s="4">
        <v>7</v>
      </c>
      <c r="T268" s="4">
        <v>7</v>
      </c>
      <c r="U268" s="5" t="s">
        <v>3550</v>
      </c>
      <c r="V268" s="5" t="s">
        <v>3550</v>
      </c>
      <c r="W268" s="5" t="s">
        <v>3419</v>
      </c>
      <c r="X268" s="5" t="s">
        <v>3419</v>
      </c>
      <c r="Y268" s="4">
        <v>360</v>
      </c>
      <c r="Z268" s="4">
        <v>304</v>
      </c>
      <c r="AA268" s="4">
        <v>311</v>
      </c>
      <c r="AB268" s="4">
        <v>2</v>
      </c>
      <c r="AC268" s="4">
        <v>2</v>
      </c>
      <c r="AD268" s="4">
        <v>11</v>
      </c>
      <c r="AE268" s="4">
        <v>11</v>
      </c>
      <c r="AF268" s="4">
        <v>7</v>
      </c>
      <c r="AG268" s="4">
        <v>7</v>
      </c>
      <c r="AH268" s="4">
        <v>1</v>
      </c>
      <c r="AI268" s="4">
        <v>1</v>
      </c>
      <c r="AJ268" s="4">
        <v>6</v>
      </c>
      <c r="AK268" s="4">
        <v>6</v>
      </c>
      <c r="AL268" s="4">
        <v>1</v>
      </c>
      <c r="AM268" s="4">
        <v>1</v>
      </c>
      <c r="AN268" s="4">
        <v>0</v>
      </c>
      <c r="AO268" s="4">
        <v>0</v>
      </c>
      <c r="AP268" s="3" t="s">
        <v>58</v>
      </c>
      <c r="AQ268" s="3" t="s">
        <v>68</v>
      </c>
      <c r="AR268" s="6" t="str">
        <f>HYPERLINK("http://catalog.hathitrust.org/Record/000010013","HathiTrust Record")</f>
        <v>HathiTrust Record</v>
      </c>
      <c r="AS268" s="6" t="str">
        <f>HYPERLINK("https://creighton-primo.hosted.exlibrisgroup.com/primo-explore/search?tab=default_tab&amp;search_scope=EVERYTHING&amp;vid=01CRU&amp;lang=en_US&amp;offset=0&amp;query=any,contains,991003164519702656","Catalog Record")</f>
        <v>Catalog Record</v>
      </c>
      <c r="AT268" s="6" t="str">
        <f>HYPERLINK("http://www.worldcat.org/oclc/702829","WorldCat Record")</f>
        <v>WorldCat Record</v>
      </c>
      <c r="AU268" s="3" t="s">
        <v>3551</v>
      </c>
      <c r="AV268" s="3" t="s">
        <v>3552</v>
      </c>
      <c r="AW268" s="3" t="s">
        <v>3553</v>
      </c>
      <c r="AX268" s="3" t="s">
        <v>3553</v>
      </c>
      <c r="AY268" s="3" t="s">
        <v>3554</v>
      </c>
      <c r="AZ268" s="3" t="s">
        <v>73</v>
      </c>
      <c r="BB268" s="3" t="s">
        <v>3555</v>
      </c>
      <c r="BC268" s="3" t="s">
        <v>3556</v>
      </c>
      <c r="BD268" s="3" t="s">
        <v>3557</v>
      </c>
    </row>
    <row r="269" spans="1:56" ht="45" customHeight="1" x14ac:dyDescent="0.25">
      <c r="A269" s="8" t="s">
        <v>58</v>
      </c>
      <c r="B269" s="2" t="s">
        <v>3558</v>
      </c>
      <c r="C269" s="2" t="s">
        <v>3559</v>
      </c>
      <c r="D269" s="2" t="s">
        <v>3560</v>
      </c>
      <c r="F269" s="3" t="s">
        <v>58</v>
      </c>
      <c r="G269" s="3" t="s">
        <v>59</v>
      </c>
      <c r="H269" s="3" t="s">
        <v>58</v>
      </c>
      <c r="I269" s="3" t="s">
        <v>58</v>
      </c>
      <c r="J269" s="3" t="s">
        <v>60</v>
      </c>
      <c r="K269" s="2" t="s">
        <v>3561</v>
      </c>
      <c r="L269" s="2" t="s">
        <v>2370</v>
      </c>
      <c r="M269" s="3" t="s">
        <v>480</v>
      </c>
      <c r="O269" s="3" t="s">
        <v>64</v>
      </c>
      <c r="P269" s="3" t="s">
        <v>99</v>
      </c>
      <c r="R269" s="3" t="s">
        <v>66</v>
      </c>
      <c r="S269" s="4">
        <v>24</v>
      </c>
      <c r="T269" s="4">
        <v>24</v>
      </c>
      <c r="U269" s="5" t="s">
        <v>3562</v>
      </c>
      <c r="V269" s="5" t="s">
        <v>3562</v>
      </c>
      <c r="W269" s="5" t="s">
        <v>1287</v>
      </c>
      <c r="X269" s="5" t="s">
        <v>1287</v>
      </c>
      <c r="Y269" s="4">
        <v>135</v>
      </c>
      <c r="Z269" s="4">
        <v>113</v>
      </c>
      <c r="AA269" s="4">
        <v>114</v>
      </c>
      <c r="AB269" s="4">
        <v>2</v>
      </c>
      <c r="AC269" s="4">
        <v>2</v>
      </c>
      <c r="AD269" s="4">
        <v>3</v>
      </c>
      <c r="AE269" s="4">
        <v>3</v>
      </c>
      <c r="AF269" s="4">
        <v>0</v>
      </c>
      <c r="AG269" s="4">
        <v>0</v>
      </c>
      <c r="AH269" s="4">
        <v>0</v>
      </c>
      <c r="AI269" s="4">
        <v>0</v>
      </c>
      <c r="AJ269" s="4">
        <v>2</v>
      </c>
      <c r="AK269" s="4">
        <v>2</v>
      </c>
      <c r="AL269" s="4">
        <v>1</v>
      </c>
      <c r="AM269" s="4">
        <v>1</v>
      </c>
      <c r="AN269" s="4">
        <v>0</v>
      </c>
      <c r="AO269" s="4">
        <v>0</v>
      </c>
      <c r="AP269" s="3" t="s">
        <v>58</v>
      </c>
      <c r="AQ269" s="3" t="s">
        <v>68</v>
      </c>
      <c r="AR269" s="6" t="str">
        <f>HYPERLINK("http://catalog.hathitrust.org/Record/102075948","HathiTrust Record")</f>
        <v>HathiTrust Record</v>
      </c>
      <c r="AS269" s="6" t="str">
        <f>HYPERLINK("https://creighton-primo.hosted.exlibrisgroup.com/primo-explore/search?tab=default_tab&amp;search_scope=EVERYTHING&amp;vid=01CRU&amp;lang=en_US&amp;offset=0&amp;query=any,contains,991000113819702656","Catalog Record")</f>
        <v>Catalog Record</v>
      </c>
      <c r="AT269" s="6" t="str">
        <f>HYPERLINK("http://www.worldcat.org/oclc/9019464","WorldCat Record")</f>
        <v>WorldCat Record</v>
      </c>
      <c r="AU269" s="3" t="s">
        <v>3563</v>
      </c>
      <c r="AV269" s="3" t="s">
        <v>3564</v>
      </c>
      <c r="AW269" s="3" t="s">
        <v>3565</v>
      </c>
      <c r="AX269" s="3" t="s">
        <v>3565</v>
      </c>
      <c r="AY269" s="3" t="s">
        <v>3566</v>
      </c>
      <c r="AZ269" s="3" t="s">
        <v>73</v>
      </c>
      <c r="BB269" s="3" t="s">
        <v>3567</v>
      </c>
      <c r="BC269" s="3" t="s">
        <v>3568</v>
      </c>
      <c r="BD269" s="3" t="s">
        <v>3569</v>
      </c>
    </row>
    <row r="270" spans="1:56" ht="45" customHeight="1" x14ac:dyDescent="0.25">
      <c r="A270" s="8" t="s">
        <v>58</v>
      </c>
      <c r="B270" s="2" t="s">
        <v>3570</v>
      </c>
      <c r="C270" s="2" t="s">
        <v>3571</v>
      </c>
      <c r="D270" s="2" t="s">
        <v>3572</v>
      </c>
      <c r="F270" s="3" t="s">
        <v>58</v>
      </c>
      <c r="G270" s="3" t="s">
        <v>59</v>
      </c>
      <c r="H270" s="3" t="s">
        <v>58</v>
      </c>
      <c r="I270" s="3" t="s">
        <v>58</v>
      </c>
      <c r="J270" s="3" t="s">
        <v>60</v>
      </c>
      <c r="L270" s="2" t="s">
        <v>3573</v>
      </c>
      <c r="M270" s="3" t="s">
        <v>480</v>
      </c>
      <c r="O270" s="3" t="s">
        <v>64</v>
      </c>
      <c r="P270" s="3" t="s">
        <v>422</v>
      </c>
      <c r="R270" s="3" t="s">
        <v>66</v>
      </c>
      <c r="S270" s="4">
        <v>9</v>
      </c>
      <c r="T270" s="4">
        <v>9</v>
      </c>
      <c r="U270" s="5" t="s">
        <v>3574</v>
      </c>
      <c r="V270" s="5" t="s">
        <v>3574</v>
      </c>
      <c r="W270" s="5" t="s">
        <v>3575</v>
      </c>
      <c r="X270" s="5" t="s">
        <v>3575</v>
      </c>
      <c r="Y270" s="4">
        <v>129</v>
      </c>
      <c r="Z270" s="4">
        <v>122</v>
      </c>
      <c r="AA270" s="4">
        <v>122</v>
      </c>
      <c r="AB270" s="4">
        <v>4</v>
      </c>
      <c r="AC270" s="4">
        <v>4</v>
      </c>
      <c r="AD270" s="4">
        <v>5</v>
      </c>
      <c r="AE270" s="4">
        <v>5</v>
      </c>
      <c r="AF270" s="4">
        <v>0</v>
      </c>
      <c r="AG270" s="4">
        <v>0</v>
      </c>
      <c r="AH270" s="4">
        <v>1</v>
      </c>
      <c r="AI270" s="4">
        <v>1</v>
      </c>
      <c r="AJ270" s="4">
        <v>2</v>
      </c>
      <c r="AK270" s="4">
        <v>2</v>
      </c>
      <c r="AL270" s="4">
        <v>3</v>
      </c>
      <c r="AM270" s="4">
        <v>3</v>
      </c>
      <c r="AN270" s="4">
        <v>0</v>
      </c>
      <c r="AO270" s="4">
        <v>0</v>
      </c>
      <c r="AP270" s="3" t="s">
        <v>58</v>
      </c>
      <c r="AQ270" s="3" t="s">
        <v>58</v>
      </c>
      <c r="AS270" s="6" t="str">
        <f>HYPERLINK("https://creighton-primo.hosted.exlibrisgroup.com/primo-explore/search?tab=default_tab&amp;search_scope=EVERYTHING&amp;vid=01CRU&amp;lang=en_US&amp;offset=0&amp;query=any,contains,991000115119702656","Catalog Record")</f>
        <v>Catalog Record</v>
      </c>
      <c r="AT270" s="6" t="str">
        <f>HYPERLINK("http://www.worldcat.org/oclc/9032520","WorldCat Record")</f>
        <v>WorldCat Record</v>
      </c>
      <c r="AU270" s="3" t="s">
        <v>3576</v>
      </c>
      <c r="AV270" s="3" t="s">
        <v>3577</v>
      </c>
      <c r="AW270" s="3" t="s">
        <v>3578</v>
      </c>
      <c r="AX270" s="3" t="s">
        <v>3578</v>
      </c>
      <c r="AY270" s="3" t="s">
        <v>3579</v>
      </c>
      <c r="AZ270" s="3" t="s">
        <v>73</v>
      </c>
      <c r="BB270" s="3" t="s">
        <v>3580</v>
      </c>
      <c r="BC270" s="3" t="s">
        <v>3581</v>
      </c>
      <c r="BD270" s="3" t="s">
        <v>3582</v>
      </c>
    </row>
    <row r="271" spans="1:56" ht="45" customHeight="1" x14ac:dyDescent="0.25">
      <c r="A271" s="8" t="s">
        <v>58</v>
      </c>
      <c r="B271" s="2" t="s">
        <v>3583</v>
      </c>
      <c r="C271" s="2" t="s">
        <v>3584</v>
      </c>
      <c r="D271" s="2" t="s">
        <v>3585</v>
      </c>
      <c r="F271" s="3" t="s">
        <v>58</v>
      </c>
      <c r="G271" s="3" t="s">
        <v>59</v>
      </c>
      <c r="H271" s="3" t="s">
        <v>58</v>
      </c>
      <c r="I271" s="3" t="s">
        <v>58</v>
      </c>
      <c r="J271" s="3" t="s">
        <v>60</v>
      </c>
      <c r="K271" s="2" t="s">
        <v>3586</v>
      </c>
      <c r="L271" s="2" t="s">
        <v>3587</v>
      </c>
      <c r="M271" s="3" t="s">
        <v>762</v>
      </c>
      <c r="O271" s="3" t="s">
        <v>64</v>
      </c>
      <c r="P271" s="3" t="s">
        <v>177</v>
      </c>
      <c r="R271" s="3" t="s">
        <v>66</v>
      </c>
      <c r="S271" s="4">
        <v>14</v>
      </c>
      <c r="T271" s="4">
        <v>14</v>
      </c>
      <c r="U271" s="5" t="s">
        <v>3588</v>
      </c>
      <c r="V271" s="5" t="s">
        <v>3588</v>
      </c>
      <c r="W271" s="5" t="s">
        <v>3589</v>
      </c>
      <c r="X271" s="5" t="s">
        <v>3589</v>
      </c>
      <c r="Y271" s="4">
        <v>844</v>
      </c>
      <c r="Z271" s="4">
        <v>772</v>
      </c>
      <c r="AA271" s="4">
        <v>994</v>
      </c>
      <c r="AB271" s="4">
        <v>8</v>
      </c>
      <c r="AC271" s="4">
        <v>8</v>
      </c>
      <c r="AD271" s="4">
        <v>22</v>
      </c>
      <c r="AE271" s="4">
        <v>27</v>
      </c>
      <c r="AF271" s="4">
        <v>9</v>
      </c>
      <c r="AG271" s="4">
        <v>11</v>
      </c>
      <c r="AH271" s="4">
        <v>3</v>
      </c>
      <c r="AI271" s="4">
        <v>4</v>
      </c>
      <c r="AJ271" s="4">
        <v>9</v>
      </c>
      <c r="AK271" s="4">
        <v>14</v>
      </c>
      <c r="AL271" s="4">
        <v>5</v>
      </c>
      <c r="AM271" s="4">
        <v>5</v>
      </c>
      <c r="AN271" s="4">
        <v>0</v>
      </c>
      <c r="AO271" s="4">
        <v>0</v>
      </c>
      <c r="AP271" s="3" t="s">
        <v>58</v>
      </c>
      <c r="AQ271" s="3" t="s">
        <v>68</v>
      </c>
      <c r="AR271" s="6" t="str">
        <f>HYPERLINK("http://catalog.hathitrust.org/Record/001570998","HathiTrust Record")</f>
        <v>HathiTrust Record</v>
      </c>
      <c r="AS271" s="6" t="str">
        <f>HYPERLINK("https://creighton-primo.hosted.exlibrisgroup.com/primo-explore/search?tab=default_tab&amp;search_scope=EVERYTHING&amp;vid=01CRU&amp;lang=en_US&amp;offset=0&amp;query=any,contains,991001336059702656","Catalog Record")</f>
        <v>Catalog Record</v>
      </c>
      <c r="AT271" s="6" t="str">
        <f>HYPERLINK("http://www.worldcat.org/oclc/221179","WorldCat Record")</f>
        <v>WorldCat Record</v>
      </c>
      <c r="AU271" s="3" t="s">
        <v>3590</v>
      </c>
      <c r="AV271" s="3" t="s">
        <v>3591</v>
      </c>
      <c r="AW271" s="3" t="s">
        <v>3592</v>
      </c>
      <c r="AX271" s="3" t="s">
        <v>3592</v>
      </c>
      <c r="AY271" s="3" t="s">
        <v>3593</v>
      </c>
      <c r="AZ271" s="3" t="s">
        <v>73</v>
      </c>
      <c r="BB271" s="3" t="s">
        <v>3594</v>
      </c>
      <c r="BC271" s="3" t="s">
        <v>3595</v>
      </c>
      <c r="BD271" s="3" t="s">
        <v>3596</v>
      </c>
    </row>
    <row r="272" spans="1:56" ht="45" customHeight="1" x14ac:dyDescent="0.25">
      <c r="A272" s="8" t="s">
        <v>58</v>
      </c>
      <c r="B272" s="2" t="s">
        <v>3597</v>
      </c>
      <c r="C272" s="2" t="s">
        <v>3598</v>
      </c>
      <c r="D272" s="2" t="s">
        <v>3599</v>
      </c>
      <c r="F272" s="3" t="s">
        <v>58</v>
      </c>
      <c r="G272" s="3" t="s">
        <v>59</v>
      </c>
      <c r="H272" s="3" t="s">
        <v>58</v>
      </c>
      <c r="I272" s="3" t="s">
        <v>58</v>
      </c>
      <c r="J272" s="3" t="s">
        <v>60</v>
      </c>
      <c r="K272" s="2" t="s">
        <v>3600</v>
      </c>
      <c r="L272" s="2" t="s">
        <v>3601</v>
      </c>
      <c r="M272" s="3" t="s">
        <v>681</v>
      </c>
      <c r="O272" s="3" t="s">
        <v>64</v>
      </c>
      <c r="P272" s="3" t="s">
        <v>99</v>
      </c>
      <c r="R272" s="3" t="s">
        <v>66</v>
      </c>
      <c r="S272" s="4">
        <v>15</v>
      </c>
      <c r="T272" s="4">
        <v>15</v>
      </c>
      <c r="U272" s="5" t="s">
        <v>3602</v>
      </c>
      <c r="V272" s="5" t="s">
        <v>3602</v>
      </c>
      <c r="W272" s="5" t="s">
        <v>1874</v>
      </c>
      <c r="X272" s="5" t="s">
        <v>1874</v>
      </c>
      <c r="Y272" s="4">
        <v>379</v>
      </c>
      <c r="Z272" s="4">
        <v>317</v>
      </c>
      <c r="AA272" s="4">
        <v>326</v>
      </c>
      <c r="AB272" s="4">
        <v>4</v>
      </c>
      <c r="AC272" s="4">
        <v>4</v>
      </c>
      <c r="AD272" s="4">
        <v>12</v>
      </c>
      <c r="AE272" s="4">
        <v>13</v>
      </c>
      <c r="AF272" s="4">
        <v>5</v>
      </c>
      <c r="AG272" s="4">
        <v>6</v>
      </c>
      <c r="AH272" s="4">
        <v>0</v>
      </c>
      <c r="AI272" s="4">
        <v>1</v>
      </c>
      <c r="AJ272" s="4">
        <v>6</v>
      </c>
      <c r="AK272" s="4">
        <v>6</v>
      </c>
      <c r="AL272" s="4">
        <v>3</v>
      </c>
      <c r="AM272" s="4">
        <v>3</v>
      </c>
      <c r="AN272" s="4">
        <v>0</v>
      </c>
      <c r="AO272" s="4">
        <v>0</v>
      </c>
      <c r="AP272" s="3" t="s">
        <v>58</v>
      </c>
      <c r="AQ272" s="3" t="s">
        <v>68</v>
      </c>
      <c r="AR272" s="6" t="str">
        <f>HYPERLINK("http://catalog.hathitrust.org/Record/000236051","HathiTrust Record")</f>
        <v>HathiTrust Record</v>
      </c>
      <c r="AS272" s="6" t="str">
        <f>HYPERLINK("https://creighton-primo.hosted.exlibrisgroup.com/primo-explore/search?tab=default_tab&amp;search_scope=EVERYTHING&amp;vid=01CRU&amp;lang=en_US&amp;offset=0&amp;query=any,contains,991000097749702656","Catalog Record")</f>
        <v>Catalog Record</v>
      </c>
      <c r="AT272" s="6" t="str">
        <f>HYPERLINK("http://www.worldcat.org/oclc/8931214","WorldCat Record")</f>
        <v>WorldCat Record</v>
      </c>
      <c r="AU272" s="3" t="s">
        <v>3603</v>
      </c>
      <c r="AV272" s="3" t="s">
        <v>3604</v>
      </c>
      <c r="AW272" s="3" t="s">
        <v>3605</v>
      </c>
      <c r="AX272" s="3" t="s">
        <v>3605</v>
      </c>
      <c r="AY272" s="3" t="s">
        <v>3606</v>
      </c>
      <c r="AZ272" s="3" t="s">
        <v>73</v>
      </c>
      <c r="BB272" s="3" t="s">
        <v>3607</v>
      </c>
      <c r="BC272" s="3" t="s">
        <v>3608</v>
      </c>
      <c r="BD272" s="3" t="s">
        <v>3609</v>
      </c>
    </row>
    <row r="273" spans="1:56" ht="45" customHeight="1" x14ac:dyDescent="0.25">
      <c r="A273" s="8" t="s">
        <v>58</v>
      </c>
      <c r="B273" s="2" t="s">
        <v>3610</v>
      </c>
      <c r="C273" s="2" t="s">
        <v>3611</v>
      </c>
      <c r="D273" s="2" t="s">
        <v>3612</v>
      </c>
      <c r="F273" s="3" t="s">
        <v>58</v>
      </c>
      <c r="G273" s="3" t="s">
        <v>59</v>
      </c>
      <c r="H273" s="3" t="s">
        <v>58</v>
      </c>
      <c r="I273" s="3" t="s">
        <v>58</v>
      </c>
      <c r="J273" s="3" t="s">
        <v>60</v>
      </c>
      <c r="K273" s="2" t="s">
        <v>3613</v>
      </c>
      <c r="L273" s="2" t="s">
        <v>3614</v>
      </c>
      <c r="M273" s="3" t="s">
        <v>378</v>
      </c>
      <c r="N273" s="2" t="s">
        <v>567</v>
      </c>
      <c r="O273" s="3" t="s">
        <v>64</v>
      </c>
      <c r="P273" s="3" t="s">
        <v>177</v>
      </c>
      <c r="R273" s="3" t="s">
        <v>66</v>
      </c>
      <c r="S273" s="4">
        <v>25</v>
      </c>
      <c r="T273" s="4">
        <v>25</v>
      </c>
      <c r="U273" s="5" t="s">
        <v>3588</v>
      </c>
      <c r="V273" s="5" t="s">
        <v>3588</v>
      </c>
      <c r="W273" s="5" t="s">
        <v>958</v>
      </c>
      <c r="X273" s="5" t="s">
        <v>958</v>
      </c>
      <c r="Y273" s="4">
        <v>579</v>
      </c>
      <c r="Z273" s="4">
        <v>482</v>
      </c>
      <c r="AA273" s="4">
        <v>665</v>
      </c>
      <c r="AB273" s="4">
        <v>5</v>
      </c>
      <c r="AC273" s="4">
        <v>8</v>
      </c>
      <c r="AD273" s="4">
        <v>16</v>
      </c>
      <c r="AE273" s="4">
        <v>23</v>
      </c>
      <c r="AF273" s="4">
        <v>5</v>
      </c>
      <c r="AG273" s="4">
        <v>7</v>
      </c>
      <c r="AH273" s="4">
        <v>3</v>
      </c>
      <c r="AI273" s="4">
        <v>4</v>
      </c>
      <c r="AJ273" s="4">
        <v>8</v>
      </c>
      <c r="AK273" s="4">
        <v>11</v>
      </c>
      <c r="AL273" s="4">
        <v>4</v>
      </c>
      <c r="AM273" s="4">
        <v>7</v>
      </c>
      <c r="AN273" s="4">
        <v>0</v>
      </c>
      <c r="AO273" s="4">
        <v>0</v>
      </c>
      <c r="AP273" s="3" t="s">
        <v>58</v>
      </c>
      <c r="AQ273" s="3" t="s">
        <v>58</v>
      </c>
      <c r="AS273" s="6" t="str">
        <f>HYPERLINK("https://creighton-primo.hosted.exlibrisgroup.com/primo-explore/search?tab=default_tab&amp;search_scope=EVERYTHING&amp;vid=01CRU&amp;lang=en_US&amp;offset=0&amp;query=any,contains,991000262849702656","Catalog Record")</f>
        <v>Catalog Record</v>
      </c>
      <c r="AT273" s="6" t="str">
        <f>HYPERLINK("http://www.worldcat.org/oclc/9827067","WorldCat Record")</f>
        <v>WorldCat Record</v>
      </c>
      <c r="AU273" s="3" t="s">
        <v>3615</v>
      </c>
      <c r="AV273" s="3" t="s">
        <v>3616</v>
      </c>
      <c r="AW273" s="3" t="s">
        <v>3617</v>
      </c>
      <c r="AX273" s="3" t="s">
        <v>3617</v>
      </c>
      <c r="AY273" s="3" t="s">
        <v>3618</v>
      </c>
      <c r="AZ273" s="3" t="s">
        <v>73</v>
      </c>
      <c r="BB273" s="3" t="s">
        <v>3619</v>
      </c>
      <c r="BC273" s="3" t="s">
        <v>3620</v>
      </c>
      <c r="BD273" s="3" t="s">
        <v>3621</v>
      </c>
    </row>
    <row r="274" spans="1:56" ht="45" customHeight="1" x14ac:dyDescent="0.25">
      <c r="A274" s="8" t="s">
        <v>58</v>
      </c>
      <c r="B274" s="2" t="s">
        <v>3622</v>
      </c>
      <c r="C274" s="2" t="s">
        <v>3623</v>
      </c>
      <c r="D274" s="2" t="s">
        <v>3624</v>
      </c>
      <c r="F274" s="3" t="s">
        <v>58</v>
      </c>
      <c r="G274" s="3" t="s">
        <v>59</v>
      </c>
      <c r="H274" s="3" t="s">
        <v>58</v>
      </c>
      <c r="I274" s="3" t="s">
        <v>58</v>
      </c>
      <c r="J274" s="3" t="s">
        <v>60</v>
      </c>
      <c r="K274" s="2" t="s">
        <v>3625</v>
      </c>
      <c r="L274" s="2" t="s">
        <v>3626</v>
      </c>
      <c r="M274" s="3" t="s">
        <v>393</v>
      </c>
      <c r="O274" s="3" t="s">
        <v>64</v>
      </c>
      <c r="P274" s="3" t="s">
        <v>99</v>
      </c>
      <c r="R274" s="3" t="s">
        <v>66</v>
      </c>
      <c r="S274" s="4">
        <v>6</v>
      </c>
      <c r="T274" s="4">
        <v>6</v>
      </c>
      <c r="U274" s="5" t="s">
        <v>3627</v>
      </c>
      <c r="V274" s="5" t="s">
        <v>3627</v>
      </c>
      <c r="W274" s="5" t="s">
        <v>1874</v>
      </c>
      <c r="X274" s="5" t="s">
        <v>1874</v>
      </c>
      <c r="Y274" s="4">
        <v>226</v>
      </c>
      <c r="Z274" s="4">
        <v>200</v>
      </c>
      <c r="AA274" s="4">
        <v>200</v>
      </c>
      <c r="AB274" s="4">
        <v>3</v>
      </c>
      <c r="AC274" s="4">
        <v>3</v>
      </c>
      <c r="AD274" s="4">
        <v>4</v>
      </c>
      <c r="AE274" s="4">
        <v>4</v>
      </c>
      <c r="AF274" s="4">
        <v>1</v>
      </c>
      <c r="AG274" s="4">
        <v>1</v>
      </c>
      <c r="AH274" s="4">
        <v>0</v>
      </c>
      <c r="AI274" s="4">
        <v>0</v>
      </c>
      <c r="AJ274" s="4">
        <v>2</v>
      </c>
      <c r="AK274" s="4">
        <v>2</v>
      </c>
      <c r="AL274" s="4">
        <v>2</v>
      </c>
      <c r="AM274" s="4">
        <v>2</v>
      </c>
      <c r="AN274" s="4">
        <v>0</v>
      </c>
      <c r="AO274" s="4">
        <v>0</v>
      </c>
      <c r="AP274" s="3" t="s">
        <v>58</v>
      </c>
      <c r="AQ274" s="3" t="s">
        <v>58</v>
      </c>
      <c r="AS274" s="6" t="str">
        <f>HYPERLINK("https://creighton-primo.hosted.exlibrisgroup.com/primo-explore/search?tab=default_tab&amp;search_scope=EVERYTHING&amp;vid=01CRU&amp;lang=en_US&amp;offset=0&amp;query=any,contains,991004979869702656","Catalog Record")</f>
        <v>Catalog Record</v>
      </c>
      <c r="AT274" s="6" t="str">
        <f>HYPERLINK("http://www.worldcat.org/oclc/6421467","WorldCat Record")</f>
        <v>WorldCat Record</v>
      </c>
      <c r="AU274" s="3" t="s">
        <v>3628</v>
      </c>
      <c r="AV274" s="3" t="s">
        <v>3629</v>
      </c>
      <c r="AW274" s="3" t="s">
        <v>3630</v>
      </c>
      <c r="AX274" s="3" t="s">
        <v>3630</v>
      </c>
      <c r="AY274" s="3" t="s">
        <v>3631</v>
      </c>
      <c r="AZ274" s="3" t="s">
        <v>73</v>
      </c>
      <c r="BB274" s="3" t="s">
        <v>3632</v>
      </c>
      <c r="BC274" s="3" t="s">
        <v>3633</v>
      </c>
      <c r="BD274" s="3" t="s">
        <v>3634</v>
      </c>
    </row>
    <row r="275" spans="1:56" ht="45" customHeight="1" x14ac:dyDescent="0.25">
      <c r="A275" s="8" t="s">
        <v>58</v>
      </c>
      <c r="B275" s="2" t="s">
        <v>3635</v>
      </c>
      <c r="C275" s="2" t="s">
        <v>3636</v>
      </c>
      <c r="D275" s="2" t="s">
        <v>3637</v>
      </c>
      <c r="F275" s="3" t="s">
        <v>58</v>
      </c>
      <c r="G275" s="3" t="s">
        <v>59</v>
      </c>
      <c r="H275" s="3" t="s">
        <v>58</v>
      </c>
      <c r="I275" s="3" t="s">
        <v>58</v>
      </c>
      <c r="J275" s="3" t="s">
        <v>60</v>
      </c>
      <c r="K275" s="2" t="s">
        <v>3638</v>
      </c>
      <c r="L275" s="2" t="s">
        <v>3639</v>
      </c>
      <c r="M275" s="3" t="s">
        <v>407</v>
      </c>
      <c r="O275" s="3" t="s">
        <v>64</v>
      </c>
      <c r="P275" s="3" t="s">
        <v>191</v>
      </c>
      <c r="R275" s="3" t="s">
        <v>66</v>
      </c>
      <c r="S275" s="4">
        <v>13</v>
      </c>
      <c r="T275" s="4">
        <v>13</v>
      </c>
      <c r="U275" s="5" t="s">
        <v>3588</v>
      </c>
      <c r="V275" s="5" t="s">
        <v>3588</v>
      </c>
      <c r="W275" s="5" t="s">
        <v>3640</v>
      </c>
      <c r="X275" s="5" t="s">
        <v>3640</v>
      </c>
      <c r="Y275" s="4">
        <v>501</v>
      </c>
      <c r="Z275" s="4">
        <v>428</v>
      </c>
      <c r="AA275" s="4">
        <v>460</v>
      </c>
      <c r="AB275" s="4">
        <v>5</v>
      </c>
      <c r="AC275" s="4">
        <v>5</v>
      </c>
      <c r="AD275" s="4">
        <v>20</v>
      </c>
      <c r="AE275" s="4">
        <v>22</v>
      </c>
      <c r="AF275" s="4">
        <v>11</v>
      </c>
      <c r="AG275" s="4">
        <v>11</v>
      </c>
      <c r="AH275" s="4">
        <v>2</v>
      </c>
      <c r="AI275" s="4">
        <v>4</v>
      </c>
      <c r="AJ275" s="4">
        <v>10</v>
      </c>
      <c r="AK275" s="4">
        <v>10</v>
      </c>
      <c r="AL275" s="4">
        <v>4</v>
      </c>
      <c r="AM275" s="4">
        <v>4</v>
      </c>
      <c r="AN275" s="4">
        <v>0</v>
      </c>
      <c r="AO275" s="4">
        <v>0</v>
      </c>
      <c r="AP275" s="3" t="s">
        <v>58</v>
      </c>
      <c r="AQ275" s="3" t="s">
        <v>58</v>
      </c>
      <c r="AS275" s="6" t="str">
        <f>HYPERLINK("https://creighton-primo.hosted.exlibrisgroup.com/primo-explore/search?tab=default_tab&amp;search_scope=EVERYTHING&amp;vid=01CRU&amp;lang=en_US&amp;offset=0&amp;query=any,contains,991004298249702656","Catalog Record")</f>
        <v>Catalog Record</v>
      </c>
      <c r="AT275" s="6" t="str">
        <f>HYPERLINK("http://www.worldcat.org/oclc/2966631","WorldCat Record")</f>
        <v>WorldCat Record</v>
      </c>
      <c r="AU275" s="3" t="s">
        <v>3641</v>
      </c>
      <c r="AV275" s="3" t="s">
        <v>3642</v>
      </c>
      <c r="AW275" s="3" t="s">
        <v>3643</v>
      </c>
      <c r="AX275" s="3" t="s">
        <v>3643</v>
      </c>
      <c r="AY275" s="3" t="s">
        <v>3644</v>
      </c>
      <c r="AZ275" s="3" t="s">
        <v>73</v>
      </c>
      <c r="BB275" s="3" t="s">
        <v>3645</v>
      </c>
      <c r="BC275" s="3" t="s">
        <v>3646</v>
      </c>
      <c r="BD275" s="3" t="s">
        <v>3647</v>
      </c>
    </row>
    <row r="276" spans="1:56" ht="45" customHeight="1" x14ac:dyDescent="0.25">
      <c r="A276" s="8" t="s">
        <v>58</v>
      </c>
      <c r="B276" s="2" t="s">
        <v>3648</v>
      </c>
      <c r="C276" s="2" t="s">
        <v>3649</v>
      </c>
      <c r="D276" s="2" t="s">
        <v>3650</v>
      </c>
      <c r="F276" s="3" t="s">
        <v>58</v>
      </c>
      <c r="G276" s="3" t="s">
        <v>59</v>
      </c>
      <c r="H276" s="3" t="s">
        <v>58</v>
      </c>
      <c r="I276" s="3" t="s">
        <v>58</v>
      </c>
      <c r="J276" s="3" t="s">
        <v>60</v>
      </c>
      <c r="L276" s="2" t="s">
        <v>3651</v>
      </c>
      <c r="M276" s="3" t="s">
        <v>450</v>
      </c>
      <c r="O276" s="3" t="s">
        <v>64</v>
      </c>
      <c r="P276" s="3" t="s">
        <v>177</v>
      </c>
      <c r="Q276" s="2" t="s">
        <v>264</v>
      </c>
      <c r="R276" s="3" t="s">
        <v>66</v>
      </c>
      <c r="S276" s="4">
        <v>6</v>
      </c>
      <c r="T276" s="4">
        <v>6</v>
      </c>
      <c r="U276" s="5" t="s">
        <v>3652</v>
      </c>
      <c r="V276" s="5" t="s">
        <v>3652</v>
      </c>
      <c r="W276" s="5" t="s">
        <v>658</v>
      </c>
      <c r="X276" s="5" t="s">
        <v>658</v>
      </c>
      <c r="Y276" s="4">
        <v>344</v>
      </c>
      <c r="Z276" s="4">
        <v>278</v>
      </c>
      <c r="AA276" s="4">
        <v>303</v>
      </c>
      <c r="AB276" s="4">
        <v>1</v>
      </c>
      <c r="AC276" s="4">
        <v>1</v>
      </c>
      <c r="AD276" s="4">
        <v>10</v>
      </c>
      <c r="AE276" s="4">
        <v>12</v>
      </c>
      <c r="AF276" s="4">
        <v>2</v>
      </c>
      <c r="AG276" s="4">
        <v>3</v>
      </c>
      <c r="AH276" s="4">
        <v>2</v>
      </c>
      <c r="AI276" s="4">
        <v>2</v>
      </c>
      <c r="AJ276" s="4">
        <v>7</v>
      </c>
      <c r="AK276" s="4">
        <v>9</v>
      </c>
      <c r="AL276" s="4">
        <v>0</v>
      </c>
      <c r="AM276" s="4">
        <v>0</v>
      </c>
      <c r="AN276" s="4">
        <v>0</v>
      </c>
      <c r="AO276" s="4">
        <v>0</v>
      </c>
      <c r="AP276" s="3" t="s">
        <v>58</v>
      </c>
      <c r="AQ276" s="3" t="s">
        <v>68</v>
      </c>
      <c r="AR276" s="6" t="str">
        <f>HYPERLINK("http://catalog.hathitrust.org/Record/000597301","HathiTrust Record")</f>
        <v>HathiTrust Record</v>
      </c>
      <c r="AS276" s="6" t="str">
        <f>HYPERLINK("https://creighton-primo.hosted.exlibrisgroup.com/primo-explore/search?tab=default_tab&amp;search_scope=EVERYTHING&amp;vid=01CRU&amp;lang=en_US&amp;offset=0&amp;query=any,contains,991000855489702656","Catalog Record")</f>
        <v>Catalog Record</v>
      </c>
      <c r="AT276" s="6" t="str">
        <f>HYPERLINK("http://www.worldcat.org/oclc/13644278","WorldCat Record")</f>
        <v>WorldCat Record</v>
      </c>
      <c r="AU276" s="3" t="s">
        <v>3653</v>
      </c>
      <c r="AV276" s="3" t="s">
        <v>3654</v>
      </c>
      <c r="AW276" s="3" t="s">
        <v>3655</v>
      </c>
      <c r="AX276" s="3" t="s">
        <v>3655</v>
      </c>
      <c r="AY276" s="3" t="s">
        <v>3656</v>
      </c>
      <c r="AZ276" s="3" t="s">
        <v>73</v>
      </c>
      <c r="BB276" s="3" t="s">
        <v>3657</v>
      </c>
      <c r="BC276" s="3" t="s">
        <v>3658</v>
      </c>
      <c r="BD276" s="3" t="s">
        <v>3659</v>
      </c>
    </row>
    <row r="277" spans="1:56" ht="45" customHeight="1" x14ac:dyDescent="0.25">
      <c r="A277" s="8" t="s">
        <v>58</v>
      </c>
      <c r="B277" s="2" t="s">
        <v>3660</v>
      </c>
      <c r="C277" s="2" t="s">
        <v>3661</v>
      </c>
      <c r="D277" s="2" t="s">
        <v>3662</v>
      </c>
      <c r="F277" s="3" t="s">
        <v>58</v>
      </c>
      <c r="G277" s="3" t="s">
        <v>59</v>
      </c>
      <c r="H277" s="3" t="s">
        <v>58</v>
      </c>
      <c r="I277" s="3" t="s">
        <v>58</v>
      </c>
      <c r="J277" s="3" t="s">
        <v>60</v>
      </c>
      <c r="K277" s="2" t="s">
        <v>3663</v>
      </c>
      <c r="L277" s="2" t="s">
        <v>3664</v>
      </c>
      <c r="M277" s="3" t="s">
        <v>762</v>
      </c>
      <c r="O277" s="3" t="s">
        <v>64</v>
      </c>
      <c r="P277" s="3" t="s">
        <v>99</v>
      </c>
      <c r="R277" s="3" t="s">
        <v>66</v>
      </c>
      <c r="S277" s="4">
        <v>2</v>
      </c>
      <c r="T277" s="4">
        <v>2</v>
      </c>
      <c r="U277" s="5" t="s">
        <v>3665</v>
      </c>
      <c r="V277" s="5" t="s">
        <v>3665</v>
      </c>
      <c r="W277" s="5" t="s">
        <v>2346</v>
      </c>
      <c r="X277" s="5" t="s">
        <v>2346</v>
      </c>
      <c r="Y277" s="4">
        <v>268</v>
      </c>
      <c r="Z277" s="4">
        <v>221</v>
      </c>
      <c r="AA277" s="4">
        <v>228</v>
      </c>
      <c r="AB277" s="4">
        <v>4</v>
      </c>
      <c r="AC277" s="4">
        <v>4</v>
      </c>
      <c r="AD277" s="4">
        <v>11</v>
      </c>
      <c r="AE277" s="4">
        <v>11</v>
      </c>
      <c r="AF277" s="4">
        <v>3</v>
      </c>
      <c r="AG277" s="4">
        <v>3</v>
      </c>
      <c r="AH277" s="4">
        <v>2</v>
      </c>
      <c r="AI277" s="4">
        <v>2</v>
      </c>
      <c r="AJ277" s="4">
        <v>5</v>
      </c>
      <c r="AK277" s="4">
        <v>5</v>
      </c>
      <c r="AL277" s="4">
        <v>2</v>
      </c>
      <c r="AM277" s="4">
        <v>2</v>
      </c>
      <c r="AN277" s="4">
        <v>0</v>
      </c>
      <c r="AO277" s="4">
        <v>0</v>
      </c>
      <c r="AP277" s="3" t="s">
        <v>58</v>
      </c>
      <c r="AQ277" s="3" t="s">
        <v>58</v>
      </c>
      <c r="AS277" s="6" t="str">
        <f>HYPERLINK("https://creighton-primo.hosted.exlibrisgroup.com/primo-explore/search?tab=default_tab&amp;search_scope=EVERYTHING&amp;vid=01CRU&amp;lang=en_US&amp;offset=0&amp;query=any,contains,991002693379702656","Catalog Record")</f>
        <v>Catalog Record</v>
      </c>
      <c r="AT277" s="6" t="str">
        <f>HYPERLINK("http://www.worldcat.org/oclc/402392","WorldCat Record")</f>
        <v>WorldCat Record</v>
      </c>
      <c r="AU277" s="3" t="s">
        <v>3666</v>
      </c>
      <c r="AV277" s="3" t="s">
        <v>3667</v>
      </c>
      <c r="AW277" s="3" t="s">
        <v>3668</v>
      </c>
      <c r="AX277" s="3" t="s">
        <v>3668</v>
      </c>
      <c r="AY277" s="3" t="s">
        <v>3669</v>
      </c>
      <c r="AZ277" s="3" t="s">
        <v>73</v>
      </c>
      <c r="BB277" s="3" t="s">
        <v>3670</v>
      </c>
      <c r="BC277" s="3" t="s">
        <v>3671</v>
      </c>
      <c r="BD277" s="3" t="s">
        <v>3672</v>
      </c>
    </row>
    <row r="278" spans="1:56" ht="45" customHeight="1" x14ac:dyDescent="0.25">
      <c r="A278" s="8" t="s">
        <v>58</v>
      </c>
      <c r="B278" s="2" t="s">
        <v>3673</v>
      </c>
      <c r="C278" s="2" t="s">
        <v>3674</v>
      </c>
      <c r="D278" s="2" t="s">
        <v>3675</v>
      </c>
      <c r="F278" s="3" t="s">
        <v>58</v>
      </c>
      <c r="G278" s="3" t="s">
        <v>59</v>
      </c>
      <c r="H278" s="3" t="s">
        <v>58</v>
      </c>
      <c r="I278" s="3" t="s">
        <v>58</v>
      </c>
      <c r="J278" s="3" t="s">
        <v>60</v>
      </c>
      <c r="K278" s="2" t="s">
        <v>2562</v>
      </c>
      <c r="L278" s="2" t="s">
        <v>3676</v>
      </c>
      <c r="M278" s="3" t="s">
        <v>378</v>
      </c>
      <c r="N278" s="2" t="s">
        <v>567</v>
      </c>
      <c r="O278" s="3" t="s">
        <v>64</v>
      </c>
      <c r="P278" s="3" t="s">
        <v>177</v>
      </c>
      <c r="Q278" s="2" t="s">
        <v>3677</v>
      </c>
      <c r="R278" s="3" t="s">
        <v>66</v>
      </c>
      <c r="S278" s="4">
        <v>4</v>
      </c>
      <c r="T278" s="4">
        <v>4</v>
      </c>
      <c r="U278" s="5" t="s">
        <v>3678</v>
      </c>
      <c r="V278" s="5" t="s">
        <v>3678</v>
      </c>
      <c r="W278" s="5" t="s">
        <v>2995</v>
      </c>
      <c r="X278" s="5" t="s">
        <v>2995</v>
      </c>
      <c r="Y278" s="4">
        <v>353</v>
      </c>
      <c r="Z278" s="4">
        <v>249</v>
      </c>
      <c r="AA278" s="4">
        <v>409</v>
      </c>
      <c r="AB278" s="4">
        <v>3</v>
      </c>
      <c r="AC278" s="4">
        <v>4</v>
      </c>
      <c r="AD278" s="4">
        <v>10</v>
      </c>
      <c r="AE278" s="4">
        <v>16</v>
      </c>
      <c r="AF278" s="4">
        <v>2</v>
      </c>
      <c r="AG278" s="4">
        <v>5</v>
      </c>
      <c r="AH278" s="4">
        <v>2</v>
      </c>
      <c r="AI278" s="4">
        <v>2</v>
      </c>
      <c r="AJ278" s="4">
        <v>6</v>
      </c>
      <c r="AK278" s="4">
        <v>11</v>
      </c>
      <c r="AL278" s="4">
        <v>2</v>
      </c>
      <c r="AM278" s="4">
        <v>2</v>
      </c>
      <c r="AN278" s="4">
        <v>0</v>
      </c>
      <c r="AO278" s="4">
        <v>0</v>
      </c>
      <c r="AP278" s="3" t="s">
        <v>58</v>
      </c>
      <c r="AQ278" s="3" t="s">
        <v>68</v>
      </c>
      <c r="AR278" s="6" t="str">
        <f>HYPERLINK("http://catalog.hathitrust.org/Record/000246773","HathiTrust Record")</f>
        <v>HathiTrust Record</v>
      </c>
      <c r="AS278" s="6" t="str">
        <f>HYPERLINK("https://creighton-primo.hosted.exlibrisgroup.com/primo-explore/search?tab=default_tab&amp;search_scope=EVERYTHING&amp;vid=01CRU&amp;lang=en_US&amp;offset=0&amp;query=any,contains,991000351339702656","Catalog Record")</f>
        <v>Catalog Record</v>
      </c>
      <c r="AT278" s="6" t="str">
        <f>HYPERLINK("http://www.worldcat.org/oclc/10302475","WorldCat Record")</f>
        <v>WorldCat Record</v>
      </c>
      <c r="AU278" s="3" t="s">
        <v>3679</v>
      </c>
      <c r="AV278" s="3" t="s">
        <v>3680</v>
      </c>
      <c r="AW278" s="3" t="s">
        <v>3681</v>
      </c>
      <c r="AX278" s="3" t="s">
        <v>3681</v>
      </c>
      <c r="AY278" s="3" t="s">
        <v>3682</v>
      </c>
      <c r="AZ278" s="3" t="s">
        <v>73</v>
      </c>
      <c r="BB278" s="3" t="s">
        <v>3683</v>
      </c>
      <c r="BC278" s="3" t="s">
        <v>3684</v>
      </c>
      <c r="BD278" s="3" t="s">
        <v>3685</v>
      </c>
    </row>
    <row r="279" spans="1:56" ht="45" customHeight="1" x14ac:dyDescent="0.25">
      <c r="A279" s="8" t="s">
        <v>58</v>
      </c>
      <c r="B279" s="2" t="s">
        <v>3686</v>
      </c>
      <c r="C279" s="2" t="s">
        <v>3687</v>
      </c>
      <c r="D279" s="2" t="s">
        <v>3688</v>
      </c>
      <c r="F279" s="3" t="s">
        <v>58</v>
      </c>
      <c r="G279" s="3" t="s">
        <v>59</v>
      </c>
      <c r="H279" s="3" t="s">
        <v>68</v>
      </c>
      <c r="I279" s="3" t="s">
        <v>58</v>
      </c>
      <c r="J279" s="3" t="s">
        <v>60</v>
      </c>
      <c r="L279" s="2" t="s">
        <v>3689</v>
      </c>
      <c r="M279" s="3" t="s">
        <v>552</v>
      </c>
      <c r="O279" s="3" t="s">
        <v>64</v>
      </c>
      <c r="P279" s="3" t="s">
        <v>177</v>
      </c>
      <c r="Q279" s="2" t="s">
        <v>3690</v>
      </c>
      <c r="R279" s="3" t="s">
        <v>66</v>
      </c>
      <c r="S279" s="4">
        <v>1</v>
      </c>
      <c r="T279" s="4">
        <v>6</v>
      </c>
      <c r="V279" s="5" t="s">
        <v>3691</v>
      </c>
      <c r="W279" s="5" t="s">
        <v>2876</v>
      </c>
      <c r="X279" s="5" t="s">
        <v>2876</v>
      </c>
      <c r="Y279" s="4">
        <v>210</v>
      </c>
      <c r="Z279" s="4">
        <v>172</v>
      </c>
      <c r="AA279" s="4">
        <v>174</v>
      </c>
      <c r="AB279" s="4">
        <v>3</v>
      </c>
      <c r="AC279" s="4">
        <v>3</v>
      </c>
      <c r="AD279" s="4">
        <v>10</v>
      </c>
      <c r="AE279" s="4">
        <v>10</v>
      </c>
      <c r="AF279" s="4">
        <v>1</v>
      </c>
      <c r="AG279" s="4">
        <v>1</v>
      </c>
      <c r="AH279" s="4">
        <v>4</v>
      </c>
      <c r="AI279" s="4">
        <v>4</v>
      </c>
      <c r="AJ279" s="4">
        <v>7</v>
      </c>
      <c r="AK279" s="4">
        <v>7</v>
      </c>
      <c r="AL279" s="4">
        <v>1</v>
      </c>
      <c r="AM279" s="4">
        <v>1</v>
      </c>
      <c r="AN279" s="4">
        <v>0</v>
      </c>
      <c r="AO279" s="4">
        <v>0</v>
      </c>
      <c r="AP279" s="3" t="s">
        <v>58</v>
      </c>
      <c r="AQ279" s="3" t="s">
        <v>68</v>
      </c>
      <c r="AR279" s="6" t="str">
        <f>HYPERLINK("http://catalog.hathitrust.org/Record/001842117","HathiTrust Record")</f>
        <v>HathiTrust Record</v>
      </c>
      <c r="AS279" s="6" t="str">
        <f>HYPERLINK("https://creighton-primo.hosted.exlibrisgroup.com/primo-explore/search?tab=default_tab&amp;search_scope=EVERYTHING&amp;vid=01CRU&amp;lang=en_US&amp;offset=0&amp;query=any,contains,991001800499702656","Catalog Record")</f>
        <v>Catalog Record</v>
      </c>
      <c r="AT279" s="6" t="str">
        <f>HYPERLINK("http://www.worldcat.org/oclc/20414325","WorldCat Record")</f>
        <v>WorldCat Record</v>
      </c>
      <c r="AU279" s="3" t="s">
        <v>3692</v>
      </c>
      <c r="AV279" s="3" t="s">
        <v>3693</v>
      </c>
      <c r="AW279" s="3" t="s">
        <v>3694</v>
      </c>
      <c r="AX279" s="3" t="s">
        <v>3694</v>
      </c>
      <c r="AY279" s="3" t="s">
        <v>3695</v>
      </c>
      <c r="AZ279" s="3" t="s">
        <v>73</v>
      </c>
      <c r="BB279" s="3" t="s">
        <v>3696</v>
      </c>
      <c r="BC279" s="3" t="s">
        <v>3697</v>
      </c>
      <c r="BD279" s="3" t="s">
        <v>3698</v>
      </c>
    </row>
    <row r="280" spans="1:56" ht="45" customHeight="1" x14ac:dyDescent="0.25">
      <c r="A280" s="8" t="s">
        <v>58</v>
      </c>
      <c r="B280" s="2" t="s">
        <v>3699</v>
      </c>
      <c r="C280" s="2" t="s">
        <v>3700</v>
      </c>
      <c r="D280" s="2" t="s">
        <v>3701</v>
      </c>
      <c r="F280" s="3" t="s">
        <v>58</v>
      </c>
      <c r="G280" s="3" t="s">
        <v>59</v>
      </c>
      <c r="H280" s="3" t="s">
        <v>58</v>
      </c>
      <c r="I280" s="3" t="s">
        <v>58</v>
      </c>
      <c r="J280" s="3" t="s">
        <v>60</v>
      </c>
      <c r="K280" s="2" t="s">
        <v>3702</v>
      </c>
      <c r="L280" s="2" t="s">
        <v>3703</v>
      </c>
      <c r="M280" s="3" t="s">
        <v>378</v>
      </c>
      <c r="O280" s="3" t="s">
        <v>64</v>
      </c>
      <c r="P280" s="3" t="s">
        <v>901</v>
      </c>
      <c r="R280" s="3" t="s">
        <v>66</v>
      </c>
      <c r="S280" s="4">
        <v>2</v>
      </c>
      <c r="T280" s="4">
        <v>2</v>
      </c>
      <c r="U280" s="5" t="s">
        <v>3537</v>
      </c>
      <c r="V280" s="5" t="s">
        <v>3537</v>
      </c>
      <c r="W280" s="5" t="s">
        <v>3704</v>
      </c>
      <c r="X280" s="5" t="s">
        <v>3704</v>
      </c>
      <c r="Y280" s="4">
        <v>369</v>
      </c>
      <c r="Z280" s="4">
        <v>324</v>
      </c>
      <c r="AA280" s="4">
        <v>326</v>
      </c>
      <c r="AB280" s="4">
        <v>4</v>
      </c>
      <c r="AC280" s="4">
        <v>4</v>
      </c>
      <c r="AD280" s="4">
        <v>12</v>
      </c>
      <c r="AE280" s="4">
        <v>12</v>
      </c>
      <c r="AF280" s="4">
        <v>4</v>
      </c>
      <c r="AG280" s="4">
        <v>4</v>
      </c>
      <c r="AH280" s="4">
        <v>1</v>
      </c>
      <c r="AI280" s="4">
        <v>1</v>
      </c>
      <c r="AJ280" s="4">
        <v>5</v>
      </c>
      <c r="AK280" s="4">
        <v>5</v>
      </c>
      <c r="AL280" s="4">
        <v>3</v>
      </c>
      <c r="AM280" s="4">
        <v>3</v>
      </c>
      <c r="AN280" s="4">
        <v>0</v>
      </c>
      <c r="AO280" s="4">
        <v>0</v>
      </c>
      <c r="AP280" s="3" t="s">
        <v>58</v>
      </c>
      <c r="AQ280" s="3" t="s">
        <v>68</v>
      </c>
      <c r="AR280" s="6" t="str">
        <f>HYPERLINK("http://catalog.hathitrust.org/Record/000335975","HathiTrust Record")</f>
        <v>HathiTrust Record</v>
      </c>
      <c r="AS280" s="6" t="str">
        <f>HYPERLINK("https://creighton-primo.hosted.exlibrisgroup.com/primo-explore/search?tab=default_tab&amp;search_scope=EVERYTHING&amp;vid=01CRU&amp;lang=en_US&amp;offset=0&amp;query=any,contains,991000298999702656","Catalog Record")</f>
        <v>Catalog Record</v>
      </c>
      <c r="AT280" s="6" t="str">
        <f>HYPERLINK("http://www.worldcat.org/oclc/10020171","WorldCat Record")</f>
        <v>WorldCat Record</v>
      </c>
      <c r="AU280" s="3" t="s">
        <v>3705</v>
      </c>
      <c r="AV280" s="3" t="s">
        <v>3706</v>
      </c>
      <c r="AW280" s="3" t="s">
        <v>3707</v>
      </c>
      <c r="AX280" s="3" t="s">
        <v>3707</v>
      </c>
      <c r="AY280" s="3" t="s">
        <v>3708</v>
      </c>
      <c r="AZ280" s="3" t="s">
        <v>73</v>
      </c>
      <c r="BB280" s="3" t="s">
        <v>3709</v>
      </c>
      <c r="BC280" s="3" t="s">
        <v>3710</v>
      </c>
      <c r="BD280" s="3" t="s">
        <v>3711</v>
      </c>
    </row>
    <row r="281" spans="1:56" ht="45" customHeight="1" x14ac:dyDescent="0.25">
      <c r="A281" s="8" t="s">
        <v>58</v>
      </c>
      <c r="B281" s="2" t="s">
        <v>3712</v>
      </c>
      <c r="C281" s="2" t="s">
        <v>3713</v>
      </c>
      <c r="D281" s="2" t="s">
        <v>3714</v>
      </c>
      <c r="F281" s="3" t="s">
        <v>58</v>
      </c>
      <c r="G281" s="3" t="s">
        <v>59</v>
      </c>
      <c r="H281" s="3" t="s">
        <v>58</v>
      </c>
      <c r="I281" s="3" t="s">
        <v>58</v>
      </c>
      <c r="J281" s="3" t="s">
        <v>60</v>
      </c>
      <c r="K281" s="2" t="s">
        <v>3715</v>
      </c>
      <c r="L281" s="2" t="s">
        <v>3716</v>
      </c>
      <c r="M281" s="3" t="s">
        <v>2800</v>
      </c>
      <c r="O281" s="3" t="s">
        <v>64</v>
      </c>
      <c r="P281" s="3" t="s">
        <v>422</v>
      </c>
      <c r="R281" s="3" t="s">
        <v>66</v>
      </c>
      <c r="S281" s="4">
        <v>5</v>
      </c>
      <c r="T281" s="4">
        <v>5</v>
      </c>
      <c r="U281" s="5" t="s">
        <v>3588</v>
      </c>
      <c r="V281" s="5" t="s">
        <v>3588</v>
      </c>
      <c r="W281" s="5" t="s">
        <v>2029</v>
      </c>
      <c r="X281" s="5" t="s">
        <v>2029</v>
      </c>
      <c r="Y281" s="4">
        <v>273</v>
      </c>
      <c r="Z281" s="4">
        <v>244</v>
      </c>
      <c r="AA281" s="4">
        <v>408</v>
      </c>
      <c r="AB281" s="4">
        <v>2</v>
      </c>
      <c r="AC281" s="4">
        <v>3</v>
      </c>
      <c r="AD281" s="4">
        <v>7</v>
      </c>
      <c r="AE281" s="4">
        <v>10</v>
      </c>
      <c r="AF281" s="4">
        <v>2</v>
      </c>
      <c r="AG281" s="4">
        <v>4</v>
      </c>
      <c r="AH281" s="4">
        <v>1</v>
      </c>
      <c r="AI281" s="4">
        <v>1</v>
      </c>
      <c r="AJ281" s="4">
        <v>3</v>
      </c>
      <c r="AK281" s="4">
        <v>3</v>
      </c>
      <c r="AL281" s="4">
        <v>1</v>
      </c>
      <c r="AM281" s="4">
        <v>2</v>
      </c>
      <c r="AN281" s="4">
        <v>0</v>
      </c>
      <c r="AO281" s="4">
        <v>0</v>
      </c>
      <c r="AP281" s="3" t="s">
        <v>58</v>
      </c>
      <c r="AQ281" s="3" t="s">
        <v>68</v>
      </c>
      <c r="AR281" s="6" t="str">
        <f>HYPERLINK("http://catalog.hathitrust.org/Record/006765809","HathiTrust Record")</f>
        <v>HathiTrust Record</v>
      </c>
      <c r="AS281" s="6" t="str">
        <f>HYPERLINK("https://creighton-primo.hosted.exlibrisgroup.com/primo-explore/search?tab=default_tab&amp;search_scope=EVERYTHING&amp;vid=01CRU&amp;lang=en_US&amp;offset=0&amp;query=any,contains,991001387489702656","Catalog Record")</f>
        <v>Catalog Record</v>
      </c>
      <c r="AT281" s="6" t="str">
        <f>HYPERLINK("http://www.worldcat.org/oclc/227612","WorldCat Record")</f>
        <v>WorldCat Record</v>
      </c>
      <c r="AU281" s="3" t="s">
        <v>3717</v>
      </c>
      <c r="AV281" s="3" t="s">
        <v>3718</v>
      </c>
      <c r="AW281" s="3" t="s">
        <v>3719</v>
      </c>
      <c r="AX281" s="3" t="s">
        <v>3719</v>
      </c>
      <c r="AY281" s="3" t="s">
        <v>3720</v>
      </c>
      <c r="AZ281" s="3" t="s">
        <v>73</v>
      </c>
      <c r="BC281" s="3" t="s">
        <v>3721</v>
      </c>
      <c r="BD281" s="3" t="s">
        <v>3722</v>
      </c>
    </row>
    <row r="282" spans="1:56" ht="45" customHeight="1" x14ac:dyDescent="0.25">
      <c r="A282" s="8" t="s">
        <v>58</v>
      </c>
      <c r="B282" s="2" t="s">
        <v>3723</v>
      </c>
      <c r="C282" s="2" t="s">
        <v>3724</v>
      </c>
      <c r="D282" s="2" t="s">
        <v>3725</v>
      </c>
      <c r="F282" s="3" t="s">
        <v>58</v>
      </c>
      <c r="G282" s="3" t="s">
        <v>59</v>
      </c>
      <c r="H282" s="3" t="s">
        <v>58</v>
      </c>
      <c r="I282" s="3" t="s">
        <v>58</v>
      </c>
      <c r="J282" s="3" t="s">
        <v>60</v>
      </c>
      <c r="K282" s="2" t="s">
        <v>3726</v>
      </c>
      <c r="L282" s="2" t="s">
        <v>3727</v>
      </c>
      <c r="M282" s="3" t="s">
        <v>249</v>
      </c>
      <c r="O282" s="3" t="s">
        <v>64</v>
      </c>
      <c r="P282" s="3" t="s">
        <v>3728</v>
      </c>
      <c r="R282" s="3" t="s">
        <v>66</v>
      </c>
      <c r="S282" s="4">
        <v>2</v>
      </c>
      <c r="T282" s="4">
        <v>2</v>
      </c>
      <c r="U282" s="5" t="s">
        <v>3729</v>
      </c>
      <c r="V282" s="5" t="s">
        <v>3729</v>
      </c>
      <c r="W282" s="5" t="s">
        <v>3730</v>
      </c>
      <c r="X282" s="5" t="s">
        <v>3730</v>
      </c>
      <c r="Y282" s="4">
        <v>334</v>
      </c>
      <c r="Z282" s="4">
        <v>254</v>
      </c>
      <c r="AA282" s="4">
        <v>402</v>
      </c>
      <c r="AB282" s="4">
        <v>4</v>
      </c>
      <c r="AC282" s="4">
        <v>5</v>
      </c>
      <c r="AD282" s="4">
        <v>6</v>
      </c>
      <c r="AE282" s="4">
        <v>14</v>
      </c>
      <c r="AF282" s="4">
        <v>2</v>
      </c>
      <c r="AG282" s="4">
        <v>5</v>
      </c>
      <c r="AH282" s="4">
        <v>0</v>
      </c>
      <c r="AI282" s="4">
        <v>0</v>
      </c>
      <c r="AJ282" s="4">
        <v>3</v>
      </c>
      <c r="AK282" s="4">
        <v>10</v>
      </c>
      <c r="AL282" s="4">
        <v>2</v>
      </c>
      <c r="AM282" s="4">
        <v>3</v>
      </c>
      <c r="AN282" s="4">
        <v>0</v>
      </c>
      <c r="AO282" s="4">
        <v>0</v>
      </c>
      <c r="AP282" s="3" t="s">
        <v>58</v>
      </c>
      <c r="AQ282" s="3" t="s">
        <v>58</v>
      </c>
      <c r="AS282" s="6" t="str">
        <f>HYPERLINK("https://creighton-primo.hosted.exlibrisgroup.com/primo-explore/search?tab=default_tab&amp;search_scope=EVERYTHING&amp;vid=01CRU&amp;lang=en_US&amp;offset=0&amp;query=any,contains,991005282259702656","Catalog Record")</f>
        <v>Catalog Record</v>
      </c>
      <c r="AT282" s="6" t="str">
        <f>HYPERLINK("http://www.worldcat.org/oclc/4408708","WorldCat Record")</f>
        <v>WorldCat Record</v>
      </c>
      <c r="AU282" s="3" t="s">
        <v>3731</v>
      </c>
      <c r="AV282" s="3" t="s">
        <v>3732</v>
      </c>
      <c r="AW282" s="3" t="s">
        <v>3733</v>
      </c>
      <c r="AX282" s="3" t="s">
        <v>3733</v>
      </c>
      <c r="AY282" s="3" t="s">
        <v>3734</v>
      </c>
      <c r="AZ282" s="3" t="s">
        <v>73</v>
      </c>
      <c r="BB282" s="3" t="s">
        <v>3735</v>
      </c>
      <c r="BC282" s="3" t="s">
        <v>3736</v>
      </c>
      <c r="BD282" s="3" t="s">
        <v>3737</v>
      </c>
    </row>
    <row r="283" spans="1:56" ht="45" customHeight="1" x14ac:dyDescent="0.25">
      <c r="A283" s="8" t="s">
        <v>58</v>
      </c>
      <c r="B283" s="2" t="s">
        <v>3738</v>
      </c>
      <c r="C283" s="2" t="s">
        <v>3739</v>
      </c>
      <c r="D283" s="2" t="s">
        <v>3740</v>
      </c>
      <c r="F283" s="3" t="s">
        <v>58</v>
      </c>
      <c r="G283" s="3" t="s">
        <v>59</v>
      </c>
      <c r="H283" s="3" t="s">
        <v>58</v>
      </c>
      <c r="I283" s="3" t="s">
        <v>58</v>
      </c>
      <c r="J283" s="3" t="s">
        <v>60</v>
      </c>
      <c r="K283" s="2" t="s">
        <v>3741</v>
      </c>
      <c r="L283" s="2" t="s">
        <v>3742</v>
      </c>
      <c r="M283" s="3" t="s">
        <v>113</v>
      </c>
      <c r="N283" s="2" t="s">
        <v>567</v>
      </c>
      <c r="O283" s="3" t="s">
        <v>64</v>
      </c>
      <c r="P283" s="3" t="s">
        <v>65</v>
      </c>
      <c r="R283" s="3" t="s">
        <v>66</v>
      </c>
      <c r="S283" s="4">
        <v>5</v>
      </c>
      <c r="T283" s="4">
        <v>5</v>
      </c>
      <c r="U283" s="5" t="s">
        <v>3743</v>
      </c>
      <c r="V283" s="5" t="s">
        <v>3743</v>
      </c>
      <c r="W283" s="5" t="s">
        <v>3744</v>
      </c>
      <c r="X283" s="5" t="s">
        <v>3744</v>
      </c>
      <c r="Y283" s="4">
        <v>266</v>
      </c>
      <c r="Z283" s="4">
        <v>192</v>
      </c>
      <c r="AA283" s="4">
        <v>417</v>
      </c>
      <c r="AB283" s="4">
        <v>2</v>
      </c>
      <c r="AC283" s="4">
        <v>5</v>
      </c>
      <c r="AD283" s="4">
        <v>9</v>
      </c>
      <c r="AE283" s="4">
        <v>21</v>
      </c>
      <c r="AF283" s="4">
        <v>3</v>
      </c>
      <c r="AG283" s="4">
        <v>9</v>
      </c>
      <c r="AH283" s="4">
        <v>1</v>
      </c>
      <c r="AI283" s="4">
        <v>3</v>
      </c>
      <c r="AJ283" s="4">
        <v>6</v>
      </c>
      <c r="AK283" s="4">
        <v>11</v>
      </c>
      <c r="AL283" s="4">
        <v>1</v>
      </c>
      <c r="AM283" s="4">
        <v>4</v>
      </c>
      <c r="AN283" s="4">
        <v>0</v>
      </c>
      <c r="AO283" s="4">
        <v>0</v>
      </c>
      <c r="AP283" s="3" t="s">
        <v>58</v>
      </c>
      <c r="AQ283" s="3" t="s">
        <v>58</v>
      </c>
      <c r="AS283" s="6" t="str">
        <f>HYPERLINK("https://creighton-primo.hosted.exlibrisgroup.com/primo-explore/search?tab=default_tab&amp;search_scope=EVERYTHING&amp;vid=01CRU&amp;lang=en_US&amp;offset=0&amp;query=any,contains,991003329989702656","Catalog Record")</f>
        <v>Catalog Record</v>
      </c>
      <c r="AT283" s="6" t="str">
        <f>HYPERLINK("http://www.worldcat.org/oclc/41961324","WorldCat Record")</f>
        <v>WorldCat Record</v>
      </c>
      <c r="AU283" s="3" t="s">
        <v>3745</v>
      </c>
      <c r="AV283" s="3" t="s">
        <v>3746</v>
      </c>
      <c r="AW283" s="3" t="s">
        <v>3747</v>
      </c>
      <c r="AX283" s="3" t="s">
        <v>3747</v>
      </c>
      <c r="AY283" s="3" t="s">
        <v>3748</v>
      </c>
      <c r="AZ283" s="3" t="s">
        <v>73</v>
      </c>
      <c r="BB283" s="3" t="s">
        <v>3749</v>
      </c>
      <c r="BC283" s="3" t="s">
        <v>3750</v>
      </c>
      <c r="BD283" s="3" t="s">
        <v>3751</v>
      </c>
    </row>
    <row r="284" spans="1:56" ht="45" customHeight="1" x14ac:dyDescent="0.25">
      <c r="A284" s="8" t="s">
        <v>58</v>
      </c>
      <c r="B284" s="2" t="s">
        <v>3752</v>
      </c>
      <c r="C284" s="2" t="s">
        <v>3753</v>
      </c>
      <c r="D284" s="2" t="s">
        <v>3754</v>
      </c>
      <c r="F284" s="3" t="s">
        <v>58</v>
      </c>
      <c r="G284" s="3" t="s">
        <v>59</v>
      </c>
      <c r="H284" s="3" t="s">
        <v>58</v>
      </c>
      <c r="I284" s="3" t="s">
        <v>58</v>
      </c>
      <c r="J284" s="3" t="s">
        <v>60</v>
      </c>
      <c r="L284" s="2" t="s">
        <v>3755</v>
      </c>
      <c r="M284" s="3" t="s">
        <v>494</v>
      </c>
      <c r="O284" s="3" t="s">
        <v>64</v>
      </c>
      <c r="P284" s="3" t="s">
        <v>177</v>
      </c>
      <c r="R284" s="3" t="s">
        <v>66</v>
      </c>
      <c r="S284" s="4">
        <v>6</v>
      </c>
      <c r="T284" s="4">
        <v>6</v>
      </c>
      <c r="U284" s="5" t="s">
        <v>3756</v>
      </c>
      <c r="V284" s="5" t="s">
        <v>3756</v>
      </c>
      <c r="W284" s="5" t="s">
        <v>3021</v>
      </c>
      <c r="X284" s="5" t="s">
        <v>3021</v>
      </c>
      <c r="Y284" s="4">
        <v>333</v>
      </c>
      <c r="Z284" s="4">
        <v>287</v>
      </c>
      <c r="AA284" s="4">
        <v>289</v>
      </c>
      <c r="AB284" s="4">
        <v>3</v>
      </c>
      <c r="AC284" s="4">
        <v>3</v>
      </c>
      <c r="AD284" s="4">
        <v>7</v>
      </c>
      <c r="AE284" s="4">
        <v>7</v>
      </c>
      <c r="AF284" s="4">
        <v>0</v>
      </c>
      <c r="AG284" s="4">
        <v>0</v>
      </c>
      <c r="AH284" s="4">
        <v>1</v>
      </c>
      <c r="AI284" s="4">
        <v>1</v>
      </c>
      <c r="AJ284" s="4">
        <v>6</v>
      </c>
      <c r="AK284" s="4">
        <v>6</v>
      </c>
      <c r="AL284" s="4">
        <v>1</v>
      </c>
      <c r="AM284" s="4">
        <v>1</v>
      </c>
      <c r="AN284" s="4">
        <v>0</v>
      </c>
      <c r="AO284" s="4">
        <v>0</v>
      </c>
      <c r="AP284" s="3" t="s">
        <v>58</v>
      </c>
      <c r="AQ284" s="3" t="s">
        <v>68</v>
      </c>
      <c r="AR284" s="6" t="str">
        <f>HYPERLINK("http://catalog.hathitrust.org/Record/000386080","HathiTrust Record")</f>
        <v>HathiTrust Record</v>
      </c>
      <c r="AS284" s="6" t="str">
        <f>HYPERLINK("https://creighton-primo.hosted.exlibrisgroup.com/primo-explore/search?tab=default_tab&amp;search_scope=EVERYTHING&amp;vid=01CRU&amp;lang=en_US&amp;offset=0&amp;query=any,contains,991000545409702656","Catalog Record")</f>
        <v>Catalog Record</v>
      </c>
      <c r="AT284" s="6" t="str">
        <f>HYPERLINK("http://www.worldcat.org/oclc/11495584","WorldCat Record")</f>
        <v>WorldCat Record</v>
      </c>
      <c r="AU284" s="3" t="s">
        <v>3757</v>
      </c>
      <c r="AV284" s="3" t="s">
        <v>3758</v>
      </c>
      <c r="AW284" s="3" t="s">
        <v>3759</v>
      </c>
      <c r="AX284" s="3" t="s">
        <v>3759</v>
      </c>
      <c r="AY284" s="3" t="s">
        <v>3760</v>
      </c>
      <c r="AZ284" s="3" t="s">
        <v>73</v>
      </c>
      <c r="BB284" s="3" t="s">
        <v>3761</v>
      </c>
      <c r="BC284" s="3" t="s">
        <v>3762</v>
      </c>
      <c r="BD284" s="3" t="s">
        <v>3763</v>
      </c>
    </row>
    <row r="285" spans="1:56" ht="45" customHeight="1" x14ac:dyDescent="0.25">
      <c r="A285" s="8" t="s">
        <v>58</v>
      </c>
      <c r="B285" s="2" t="s">
        <v>3764</v>
      </c>
      <c r="C285" s="2" t="s">
        <v>3765</v>
      </c>
      <c r="D285" s="2" t="s">
        <v>3766</v>
      </c>
      <c r="F285" s="3" t="s">
        <v>58</v>
      </c>
      <c r="G285" s="3" t="s">
        <v>59</v>
      </c>
      <c r="H285" s="3" t="s">
        <v>58</v>
      </c>
      <c r="I285" s="3" t="s">
        <v>58</v>
      </c>
      <c r="J285" s="3" t="s">
        <v>60</v>
      </c>
      <c r="K285" s="2" t="s">
        <v>3767</v>
      </c>
      <c r="L285" s="2" t="s">
        <v>3768</v>
      </c>
      <c r="M285" s="3" t="s">
        <v>509</v>
      </c>
      <c r="O285" s="3" t="s">
        <v>64</v>
      </c>
      <c r="P285" s="3" t="s">
        <v>147</v>
      </c>
      <c r="R285" s="3" t="s">
        <v>66</v>
      </c>
      <c r="S285" s="4">
        <v>3</v>
      </c>
      <c r="T285" s="4">
        <v>3</v>
      </c>
      <c r="U285" s="5" t="s">
        <v>3743</v>
      </c>
      <c r="V285" s="5" t="s">
        <v>3743</v>
      </c>
      <c r="W285" s="5" t="s">
        <v>3769</v>
      </c>
      <c r="X285" s="5" t="s">
        <v>3769</v>
      </c>
      <c r="Y285" s="4">
        <v>222</v>
      </c>
      <c r="Z285" s="4">
        <v>185</v>
      </c>
      <c r="AA285" s="4">
        <v>210</v>
      </c>
      <c r="AB285" s="4">
        <v>4</v>
      </c>
      <c r="AC285" s="4">
        <v>4</v>
      </c>
      <c r="AD285" s="4">
        <v>12</v>
      </c>
      <c r="AE285" s="4">
        <v>12</v>
      </c>
      <c r="AF285" s="4">
        <v>4</v>
      </c>
      <c r="AG285" s="4">
        <v>4</v>
      </c>
      <c r="AH285" s="4">
        <v>1</v>
      </c>
      <c r="AI285" s="4">
        <v>1</v>
      </c>
      <c r="AJ285" s="4">
        <v>7</v>
      </c>
      <c r="AK285" s="4">
        <v>7</v>
      </c>
      <c r="AL285" s="4">
        <v>3</v>
      </c>
      <c r="AM285" s="4">
        <v>3</v>
      </c>
      <c r="AN285" s="4">
        <v>0</v>
      </c>
      <c r="AO285" s="4">
        <v>0</v>
      </c>
      <c r="AP285" s="3" t="s">
        <v>58</v>
      </c>
      <c r="AQ285" s="3" t="s">
        <v>58</v>
      </c>
      <c r="AS285" s="6" t="str">
        <f>HYPERLINK("https://creighton-primo.hosted.exlibrisgroup.com/primo-explore/search?tab=default_tab&amp;search_scope=EVERYTHING&amp;vid=01CRU&amp;lang=en_US&amp;offset=0&amp;query=any,contains,991003330189702656","Catalog Record")</f>
        <v>Catalog Record</v>
      </c>
      <c r="AT285" s="6" t="str">
        <f>HYPERLINK("http://www.worldcat.org/oclc/34281405","WorldCat Record")</f>
        <v>WorldCat Record</v>
      </c>
      <c r="AU285" s="3" t="s">
        <v>3770</v>
      </c>
      <c r="AV285" s="3" t="s">
        <v>3771</v>
      </c>
      <c r="AW285" s="3" t="s">
        <v>3772</v>
      </c>
      <c r="AX285" s="3" t="s">
        <v>3772</v>
      </c>
      <c r="AY285" s="3" t="s">
        <v>3773</v>
      </c>
      <c r="AZ285" s="3" t="s">
        <v>73</v>
      </c>
      <c r="BB285" s="3" t="s">
        <v>3774</v>
      </c>
      <c r="BC285" s="3" t="s">
        <v>3775</v>
      </c>
      <c r="BD285" s="3" t="s">
        <v>3776</v>
      </c>
    </row>
    <row r="286" spans="1:56" ht="45" customHeight="1" x14ac:dyDescent="0.25">
      <c r="A286" s="8" t="s">
        <v>58</v>
      </c>
      <c r="B286" s="2" t="s">
        <v>3777</v>
      </c>
      <c r="C286" s="2" t="s">
        <v>3778</v>
      </c>
      <c r="D286" s="2" t="s">
        <v>3779</v>
      </c>
      <c r="F286" s="3" t="s">
        <v>58</v>
      </c>
      <c r="G286" s="3" t="s">
        <v>59</v>
      </c>
      <c r="H286" s="3" t="s">
        <v>58</v>
      </c>
      <c r="I286" s="3" t="s">
        <v>58</v>
      </c>
      <c r="J286" s="3" t="s">
        <v>60</v>
      </c>
      <c r="K286" s="2" t="s">
        <v>3780</v>
      </c>
      <c r="L286" s="2" t="s">
        <v>3781</v>
      </c>
      <c r="M286" s="3" t="s">
        <v>1013</v>
      </c>
      <c r="O286" s="3" t="s">
        <v>64</v>
      </c>
      <c r="P286" s="3" t="s">
        <v>177</v>
      </c>
      <c r="R286" s="3" t="s">
        <v>66</v>
      </c>
      <c r="S286" s="4">
        <v>3</v>
      </c>
      <c r="T286" s="4">
        <v>3</v>
      </c>
      <c r="U286" s="5" t="s">
        <v>3782</v>
      </c>
      <c r="V286" s="5" t="s">
        <v>3782</v>
      </c>
      <c r="W286" s="5" t="s">
        <v>3097</v>
      </c>
      <c r="X286" s="5" t="s">
        <v>3097</v>
      </c>
      <c r="Y286" s="4">
        <v>432</v>
      </c>
      <c r="Z286" s="4">
        <v>372</v>
      </c>
      <c r="AA286" s="4">
        <v>416</v>
      </c>
      <c r="AB286" s="4">
        <v>3</v>
      </c>
      <c r="AC286" s="4">
        <v>3</v>
      </c>
      <c r="AD286" s="4">
        <v>18</v>
      </c>
      <c r="AE286" s="4">
        <v>20</v>
      </c>
      <c r="AF286" s="4">
        <v>6</v>
      </c>
      <c r="AG286" s="4">
        <v>8</v>
      </c>
      <c r="AH286" s="4">
        <v>3</v>
      </c>
      <c r="AI286" s="4">
        <v>3</v>
      </c>
      <c r="AJ286" s="4">
        <v>11</v>
      </c>
      <c r="AK286" s="4">
        <v>12</v>
      </c>
      <c r="AL286" s="4">
        <v>2</v>
      </c>
      <c r="AM286" s="4">
        <v>2</v>
      </c>
      <c r="AN286" s="4">
        <v>0</v>
      </c>
      <c r="AO286" s="4">
        <v>0</v>
      </c>
      <c r="AP286" s="3" t="s">
        <v>58</v>
      </c>
      <c r="AQ286" s="3" t="s">
        <v>58</v>
      </c>
      <c r="AS286" s="6" t="str">
        <f>HYPERLINK("https://creighton-primo.hosted.exlibrisgroup.com/primo-explore/search?tab=default_tab&amp;search_scope=EVERYTHING&amp;vid=01CRU&amp;lang=en_US&amp;offset=0&amp;query=any,contains,991000842929702656","Catalog Record")</f>
        <v>Catalog Record</v>
      </c>
      <c r="AT286" s="6" t="str">
        <f>HYPERLINK("http://www.worldcat.org/oclc/13526635","WorldCat Record")</f>
        <v>WorldCat Record</v>
      </c>
      <c r="AU286" s="3" t="s">
        <v>3783</v>
      </c>
      <c r="AV286" s="3" t="s">
        <v>3784</v>
      </c>
      <c r="AW286" s="3" t="s">
        <v>3785</v>
      </c>
      <c r="AX286" s="3" t="s">
        <v>3785</v>
      </c>
      <c r="AY286" s="3" t="s">
        <v>3786</v>
      </c>
      <c r="AZ286" s="3" t="s">
        <v>73</v>
      </c>
      <c r="BB286" s="3" t="s">
        <v>3787</v>
      </c>
      <c r="BC286" s="3" t="s">
        <v>3788</v>
      </c>
      <c r="BD286" s="3" t="s">
        <v>3789</v>
      </c>
    </row>
    <row r="287" spans="1:56" ht="45" customHeight="1" x14ac:dyDescent="0.25">
      <c r="A287" s="8" t="s">
        <v>58</v>
      </c>
      <c r="B287" s="2" t="s">
        <v>3790</v>
      </c>
      <c r="C287" s="2" t="s">
        <v>3791</v>
      </c>
      <c r="D287" s="2" t="s">
        <v>3792</v>
      </c>
      <c r="F287" s="3" t="s">
        <v>58</v>
      </c>
      <c r="G287" s="3" t="s">
        <v>59</v>
      </c>
      <c r="H287" s="3" t="s">
        <v>58</v>
      </c>
      <c r="I287" s="3" t="s">
        <v>58</v>
      </c>
      <c r="J287" s="3" t="s">
        <v>60</v>
      </c>
      <c r="L287" s="2" t="s">
        <v>3793</v>
      </c>
      <c r="M287" s="3" t="s">
        <v>393</v>
      </c>
      <c r="O287" s="3" t="s">
        <v>64</v>
      </c>
      <c r="P287" s="3" t="s">
        <v>177</v>
      </c>
      <c r="R287" s="3" t="s">
        <v>66</v>
      </c>
      <c r="S287" s="4">
        <v>7</v>
      </c>
      <c r="T287" s="4">
        <v>7</v>
      </c>
      <c r="U287" s="5" t="s">
        <v>3794</v>
      </c>
      <c r="V287" s="5" t="s">
        <v>3794</v>
      </c>
      <c r="W287" s="5" t="s">
        <v>2298</v>
      </c>
      <c r="X287" s="5" t="s">
        <v>2298</v>
      </c>
      <c r="Y287" s="4">
        <v>268</v>
      </c>
      <c r="Z287" s="4">
        <v>199</v>
      </c>
      <c r="AA287" s="4">
        <v>206</v>
      </c>
      <c r="AB287" s="4">
        <v>4</v>
      </c>
      <c r="AC287" s="4">
        <v>4</v>
      </c>
      <c r="AD287" s="4">
        <v>9</v>
      </c>
      <c r="AE287" s="4">
        <v>9</v>
      </c>
      <c r="AF287" s="4">
        <v>1</v>
      </c>
      <c r="AG287" s="4">
        <v>1</v>
      </c>
      <c r="AH287" s="4">
        <v>3</v>
      </c>
      <c r="AI287" s="4">
        <v>3</v>
      </c>
      <c r="AJ287" s="4">
        <v>5</v>
      </c>
      <c r="AK287" s="4">
        <v>5</v>
      </c>
      <c r="AL287" s="4">
        <v>2</v>
      </c>
      <c r="AM287" s="4">
        <v>2</v>
      </c>
      <c r="AN287" s="4">
        <v>0</v>
      </c>
      <c r="AO287" s="4">
        <v>0</v>
      </c>
      <c r="AP287" s="3" t="s">
        <v>58</v>
      </c>
      <c r="AQ287" s="3" t="s">
        <v>68</v>
      </c>
      <c r="AR287" s="6" t="str">
        <f>HYPERLINK("http://catalog.hathitrust.org/Record/000185953","HathiTrust Record")</f>
        <v>HathiTrust Record</v>
      </c>
      <c r="AS287" s="6" t="str">
        <f>HYPERLINK("https://creighton-primo.hosted.exlibrisgroup.com/primo-explore/search?tab=default_tab&amp;search_scope=EVERYTHING&amp;vid=01CRU&amp;lang=en_US&amp;offset=0&amp;query=any,contains,991005048119702656","Catalog Record")</f>
        <v>Catalog Record</v>
      </c>
      <c r="AT287" s="6" t="str">
        <f>HYPERLINK("http://www.worldcat.org/oclc/6861724","WorldCat Record")</f>
        <v>WorldCat Record</v>
      </c>
      <c r="AU287" s="3" t="s">
        <v>3795</v>
      </c>
      <c r="AV287" s="3" t="s">
        <v>3796</v>
      </c>
      <c r="AW287" s="3" t="s">
        <v>3797</v>
      </c>
      <c r="AX287" s="3" t="s">
        <v>3797</v>
      </c>
      <c r="AY287" s="3" t="s">
        <v>3798</v>
      </c>
      <c r="AZ287" s="3" t="s">
        <v>73</v>
      </c>
      <c r="BB287" s="3" t="s">
        <v>3799</v>
      </c>
      <c r="BC287" s="3" t="s">
        <v>3800</v>
      </c>
      <c r="BD287" s="3" t="s">
        <v>3801</v>
      </c>
    </row>
    <row r="288" spans="1:56" ht="45" customHeight="1" x14ac:dyDescent="0.25">
      <c r="A288" s="8" t="s">
        <v>58</v>
      </c>
      <c r="B288" s="2" t="s">
        <v>3802</v>
      </c>
      <c r="C288" s="2" t="s">
        <v>3803</v>
      </c>
      <c r="D288" s="2" t="s">
        <v>3804</v>
      </c>
      <c r="F288" s="3" t="s">
        <v>58</v>
      </c>
      <c r="G288" s="3" t="s">
        <v>59</v>
      </c>
      <c r="H288" s="3" t="s">
        <v>58</v>
      </c>
      <c r="I288" s="3" t="s">
        <v>58</v>
      </c>
      <c r="J288" s="3" t="s">
        <v>60</v>
      </c>
      <c r="K288" s="2" t="s">
        <v>3805</v>
      </c>
      <c r="L288" s="2" t="s">
        <v>3806</v>
      </c>
      <c r="M288" s="3" t="s">
        <v>407</v>
      </c>
      <c r="O288" s="3" t="s">
        <v>64</v>
      </c>
      <c r="P288" s="3" t="s">
        <v>177</v>
      </c>
      <c r="R288" s="3" t="s">
        <v>66</v>
      </c>
      <c r="S288" s="4">
        <v>4</v>
      </c>
      <c r="T288" s="4">
        <v>4</v>
      </c>
      <c r="U288" s="5" t="s">
        <v>3807</v>
      </c>
      <c r="V288" s="5" t="s">
        <v>3807</v>
      </c>
      <c r="W288" s="5" t="s">
        <v>3808</v>
      </c>
      <c r="X288" s="5" t="s">
        <v>3808</v>
      </c>
      <c r="Y288" s="4">
        <v>196</v>
      </c>
      <c r="Z288" s="4">
        <v>182</v>
      </c>
      <c r="AA288" s="4">
        <v>1185</v>
      </c>
      <c r="AB288" s="4">
        <v>3</v>
      </c>
      <c r="AC288" s="4">
        <v>15</v>
      </c>
      <c r="AD288" s="4">
        <v>1</v>
      </c>
      <c r="AE288" s="4">
        <v>15</v>
      </c>
      <c r="AF288" s="4">
        <v>1</v>
      </c>
      <c r="AG288" s="4">
        <v>5</v>
      </c>
      <c r="AH288" s="4">
        <v>0</v>
      </c>
      <c r="AI288" s="4">
        <v>3</v>
      </c>
      <c r="AJ288" s="4">
        <v>0</v>
      </c>
      <c r="AK288" s="4">
        <v>5</v>
      </c>
      <c r="AL288" s="4">
        <v>0</v>
      </c>
      <c r="AM288" s="4">
        <v>5</v>
      </c>
      <c r="AN288" s="4">
        <v>0</v>
      </c>
      <c r="AO288" s="4">
        <v>0</v>
      </c>
      <c r="AP288" s="3" t="s">
        <v>58</v>
      </c>
      <c r="AQ288" s="3" t="s">
        <v>68</v>
      </c>
      <c r="AR288" s="6" t="str">
        <f>HYPERLINK("http://catalog.hathitrust.org/Record/012276315","HathiTrust Record")</f>
        <v>HathiTrust Record</v>
      </c>
      <c r="AS288" s="6" t="str">
        <f>HYPERLINK("https://creighton-primo.hosted.exlibrisgroup.com/primo-explore/search?tab=default_tab&amp;search_scope=EVERYTHING&amp;vid=01CRU&amp;lang=en_US&amp;offset=0&amp;query=any,contains,991000600019702656","Catalog Record")</f>
        <v>Catalog Record</v>
      </c>
      <c r="AT288" s="6" t="str">
        <f>HYPERLINK("http://www.worldcat.org/oclc/11839790","WorldCat Record")</f>
        <v>WorldCat Record</v>
      </c>
      <c r="AU288" s="3" t="s">
        <v>3809</v>
      </c>
      <c r="AV288" s="3" t="s">
        <v>3810</v>
      </c>
      <c r="AW288" s="3" t="s">
        <v>3811</v>
      </c>
      <c r="AX288" s="3" t="s">
        <v>3811</v>
      </c>
      <c r="AY288" s="3" t="s">
        <v>3812</v>
      </c>
      <c r="AZ288" s="3" t="s">
        <v>73</v>
      </c>
      <c r="BB288" s="3" t="s">
        <v>3813</v>
      </c>
      <c r="BC288" s="3" t="s">
        <v>3814</v>
      </c>
      <c r="BD288" s="3" t="s">
        <v>3815</v>
      </c>
    </row>
    <row r="289" spans="1:56" ht="45" customHeight="1" x14ac:dyDescent="0.25">
      <c r="A289" s="8" t="s">
        <v>58</v>
      </c>
      <c r="B289" s="2" t="s">
        <v>3816</v>
      </c>
      <c r="C289" s="2" t="s">
        <v>3817</v>
      </c>
      <c r="D289" s="2" t="s">
        <v>3818</v>
      </c>
      <c r="F289" s="3" t="s">
        <v>58</v>
      </c>
      <c r="G289" s="3" t="s">
        <v>59</v>
      </c>
      <c r="H289" s="3" t="s">
        <v>58</v>
      </c>
      <c r="I289" s="3" t="s">
        <v>58</v>
      </c>
      <c r="J289" s="3" t="s">
        <v>60</v>
      </c>
      <c r="L289" s="2" t="s">
        <v>3819</v>
      </c>
      <c r="M289" s="3" t="s">
        <v>1451</v>
      </c>
      <c r="O289" s="3" t="s">
        <v>64</v>
      </c>
      <c r="P289" s="3" t="s">
        <v>177</v>
      </c>
      <c r="R289" s="3" t="s">
        <v>66</v>
      </c>
      <c r="S289" s="4">
        <v>3</v>
      </c>
      <c r="T289" s="4">
        <v>3</v>
      </c>
      <c r="U289" s="5" t="s">
        <v>3820</v>
      </c>
      <c r="V289" s="5" t="s">
        <v>3820</v>
      </c>
      <c r="W289" s="5" t="s">
        <v>3821</v>
      </c>
      <c r="X289" s="5" t="s">
        <v>3821</v>
      </c>
      <c r="Y289" s="4">
        <v>327</v>
      </c>
      <c r="Z289" s="4">
        <v>287</v>
      </c>
      <c r="AA289" s="4">
        <v>306</v>
      </c>
      <c r="AB289" s="4">
        <v>2</v>
      </c>
      <c r="AC289" s="4">
        <v>2</v>
      </c>
      <c r="AD289" s="4">
        <v>17</v>
      </c>
      <c r="AE289" s="4">
        <v>17</v>
      </c>
      <c r="AF289" s="4">
        <v>8</v>
      </c>
      <c r="AG289" s="4">
        <v>8</v>
      </c>
      <c r="AH289" s="4">
        <v>5</v>
      </c>
      <c r="AI289" s="4">
        <v>5</v>
      </c>
      <c r="AJ289" s="4">
        <v>9</v>
      </c>
      <c r="AK289" s="4">
        <v>9</v>
      </c>
      <c r="AL289" s="4">
        <v>1</v>
      </c>
      <c r="AM289" s="4">
        <v>1</v>
      </c>
      <c r="AN289" s="4">
        <v>0</v>
      </c>
      <c r="AO289" s="4">
        <v>0</v>
      </c>
      <c r="AP289" s="3" t="s">
        <v>58</v>
      </c>
      <c r="AQ289" s="3" t="s">
        <v>58</v>
      </c>
      <c r="AS289" s="6" t="str">
        <f>HYPERLINK("https://creighton-primo.hosted.exlibrisgroup.com/primo-explore/search?tab=default_tab&amp;search_scope=EVERYTHING&amp;vid=01CRU&amp;lang=en_US&amp;offset=0&amp;query=any,contains,991002916759702656","Catalog Record")</f>
        <v>Catalog Record</v>
      </c>
      <c r="AT289" s="6" t="str">
        <f>HYPERLINK("http://www.worldcat.org/oclc/38566254","WorldCat Record")</f>
        <v>WorldCat Record</v>
      </c>
      <c r="AU289" s="3" t="s">
        <v>3822</v>
      </c>
      <c r="AV289" s="3" t="s">
        <v>3823</v>
      </c>
      <c r="AW289" s="3" t="s">
        <v>3824</v>
      </c>
      <c r="AX289" s="3" t="s">
        <v>3824</v>
      </c>
      <c r="AY289" s="3" t="s">
        <v>3825</v>
      </c>
      <c r="AZ289" s="3" t="s">
        <v>73</v>
      </c>
      <c r="BB289" s="3" t="s">
        <v>3826</v>
      </c>
      <c r="BC289" s="3" t="s">
        <v>3827</v>
      </c>
      <c r="BD289" s="3" t="s">
        <v>3828</v>
      </c>
    </row>
    <row r="290" spans="1:56" ht="45" customHeight="1" x14ac:dyDescent="0.25">
      <c r="A290" s="8" t="s">
        <v>58</v>
      </c>
      <c r="B290" s="2" t="s">
        <v>3829</v>
      </c>
      <c r="C290" s="2" t="s">
        <v>3830</v>
      </c>
      <c r="D290" s="2" t="s">
        <v>3831</v>
      </c>
      <c r="F290" s="3" t="s">
        <v>58</v>
      </c>
      <c r="G290" s="3" t="s">
        <v>59</v>
      </c>
      <c r="H290" s="3" t="s">
        <v>58</v>
      </c>
      <c r="I290" s="3" t="s">
        <v>58</v>
      </c>
      <c r="J290" s="3" t="s">
        <v>60</v>
      </c>
      <c r="K290" s="2" t="s">
        <v>3832</v>
      </c>
      <c r="L290" s="2" t="s">
        <v>3833</v>
      </c>
      <c r="M290" s="3" t="s">
        <v>509</v>
      </c>
      <c r="O290" s="3" t="s">
        <v>64</v>
      </c>
      <c r="P290" s="3" t="s">
        <v>3834</v>
      </c>
      <c r="R290" s="3" t="s">
        <v>66</v>
      </c>
      <c r="S290" s="4">
        <v>15</v>
      </c>
      <c r="T290" s="4">
        <v>15</v>
      </c>
      <c r="U290" s="5" t="s">
        <v>3835</v>
      </c>
      <c r="V290" s="5" t="s">
        <v>3835</v>
      </c>
      <c r="W290" s="5" t="s">
        <v>3836</v>
      </c>
      <c r="X290" s="5" t="s">
        <v>3836</v>
      </c>
      <c r="Y290" s="4">
        <v>42</v>
      </c>
      <c r="Z290" s="4">
        <v>18</v>
      </c>
      <c r="AA290" s="4">
        <v>19</v>
      </c>
      <c r="AB290" s="4">
        <v>1</v>
      </c>
      <c r="AC290" s="4">
        <v>1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3" t="s">
        <v>58</v>
      </c>
      <c r="AQ290" s="3" t="s">
        <v>68</v>
      </c>
      <c r="AR290" s="6" t="str">
        <f>HYPERLINK("http://catalog.hathitrust.org/Record/008386092","HathiTrust Record")</f>
        <v>HathiTrust Record</v>
      </c>
      <c r="AS290" s="6" t="str">
        <f>HYPERLINK("https://creighton-primo.hosted.exlibrisgroup.com/primo-explore/search?tab=default_tab&amp;search_scope=EVERYTHING&amp;vid=01CRU&amp;lang=en_US&amp;offset=0&amp;query=any,contains,991002755269702656","Catalog Record")</f>
        <v>Catalog Record</v>
      </c>
      <c r="AT290" s="6" t="str">
        <f>HYPERLINK("http://www.worldcat.org/oclc/36138231","WorldCat Record")</f>
        <v>WorldCat Record</v>
      </c>
      <c r="AU290" s="3" t="s">
        <v>3837</v>
      </c>
      <c r="AV290" s="3" t="s">
        <v>3838</v>
      </c>
      <c r="AW290" s="3" t="s">
        <v>3839</v>
      </c>
      <c r="AX290" s="3" t="s">
        <v>3839</v>
      </c>
      <c r="AY290" s="3" t="s">
        <v>3840</v>
      </c>
      <c r="AZ290" s="3" t="s">
        <v>73</v>
      </c>
      <c r="BB290" s="3" t="s">
        <v>3841</v>
      </c>
      <c r="BC290" s="3" t="s">
        <v>3842</v>
      </c>
      <c r="BD290" s="3" t="s">
        <v>3843</v>
      </c>
    </row>
    <row r="291" spans="1:56" ht="45" customHeight="1" x14ac:dyDescent="0.25">
      <c r="A291" s="8" t="s">
        <v>58</v>
      </c>
      <c r="B291" s="2" t="s">
        <v>3844</v>
      </c>
      <c r="C291" s="2" t="s">
        <v>3845</v>
      </c>
      <c r="D291" s="2" t="s">
        <v>3846</v>
      </c>
      <c r="F291" s="3" t="s">
        <v>58</v>
      </c>
      <c r="G291" s="3" t="s">
        <v>59</v>
      </c>
      <c r="H291" s="3" t="s">
        <v>58</v>
      </c>
      <c r="I291" s="3" t="s">
        <v>58</v>
      </c>
      <c r="J291" s="3" t="s">
        <v>60</v>
      </c>
      <c r="L291" s="2" t="s">
        <v>2705</v>
      </c>
      <c r="M291" s="3" t="s">
        <v>1013</v>
      </c>
      <c r="O291" s="3" t="s">
        <v>64</v>
      </c>
      <c r="P291" s="3" t="s">
        <v>177</v>
      </c>
      <c r="Q291" s="2" t="s">
        <v>264</v>
      </c>
      <c r="R291" s="3" t="s">
        <v>66</v>
      </c>
      <c r="S291" s="4">
        <v>8</v>
      </c>
      <c r="T291" s="4">
        <v>8</v>
      </c>
      <c r="U291" s="5" t="s">
        <v>3847</v>
      </c>
      <c r="V291" s="5" t="s">
        <v>3847</v>
      </c>
      <c r="W291" s="5" t="s">
        <v>3848</v>
      </c>
      <c r="X291" s="5" t="s">
        <v>3848</v>
      </c>
      <c r="Y291" s="4">
        <v>762</v>
      </c>
      <c r="Z291" s="4">
        <v>650</v>
      </c>
      <c r="AA291" s="4">
        <v>1337</v>
      </c>
      <c r="AB291" s="4">
        <v>5</v>
      </c>
      <c r="AC291" s="4">
        <v>8</v>
      </c>
      <c r="AD291" s="4">
        <v>26</v>
      </c>
      <c r="AE291" s="4">
        <v>37</v>
      </c>
      <c r="AF291" s="4">
        <v>10</v>
      </c>
      <c r="AG291" s="4">
        <v>18</v>
      </c>
      <c r="AH291" s="4">
        <v>6</v>
      </c>
      <c r="AI291" s="4">
        <v>7</v>
      </c>
      <c r="AJ291" s="4">
        <v>12</v>
      </c>
      <c r="AK291" s="4">
        <v>16</v>
      </c>
      <c r="AL291" s="4">
        <v>4</v>
      </c>
      <c r="AM291" s="4">
        <v>6</v>
      </c>
      <c r="AN291" s="4">
        <v>0</v>
      </c>
      <c r="AO291" s="4">
        <v>0</v>
      </c>
      <c r="AP291" s="3" t="s">
        <v>58</v>
      </c>
      <c r="AQ291" s="3" t="s">
        <v>68</v>
      </c>
      <c r="AR291" s="6" t="str">
        <f>HYPERLINK("http://catalog.hathitrust.org/Record/000472206","HathiTrust Record")</f>
        <v>HathiTrust Record</v>
      </c>
      <c r="AS291" s="6" t="str">
        <f>HYPERLINK("https://creighton-primo.hosted.exlibrisgroup.com/primo-explore/search?tab=default_tab&amp;search_scope=EVERYTHING&amp;vid=01CRU&amp;lang=en_US&amp;offset=0&amp;query=any,contains,991000733019702656","Catalog Record")</f>
        <v>Catalog Record</v>
      </c>
      <c r="AT291" s="6" t="str">
        <f>HYPERLINK("http://www.worldcat.org/oclc/12750353","WorldCat Record")</f>
        <v>WorldCat Record</v>
      </c>
      <c r="AU291" s="3" t="s">
        <v>3849</v>
      </c>
      <c r="AV291" s="3" t="s">
        <v>3850</v>
      </c>
      <c r="AW291" s="3" t="s">
        <v>3851</v>
      </c>
      <c r="AX291" s="3" t="s">
        <v>3851</v>
      </c>
      <c r="AY291" s="3" t="s">
        <v>3852</v>
      </c>
      <c r="AZ291" s="3" t="s">
        <v>73</v>
      </c>
      <c r="BB291" s="3" t="s">
        <v>3853</v>
      </c>
      <c r="BC291" s="3" t="s">
        <v>3854</v>
      </c>
      <c r="BD291" s="3" t="s">
        <v>3855</v>
      </c>
    </row>
    <row r="292" spans="1:56" ht="45" customHeight="1" x14ac:dyDescent="0.25">
      <c r="A292" s="8" t="s">
        <v>58</v>
      </c>
      <c r="B292" s="2" t="s">
        <v>3856</v>
      </c>
      <c r="C292" s="2" t="s">
        <v>3857</v>
      </c>
      <c r="D292" s="2" t="s">
        <v>3858</v>
      </c>
      <c r="F292" s="3" t="s">
        <v>58</v>
      </c>
      <c r="G292" s="3" t="s">
        <v>59</v>
      </c>
      <c r="H292" s="3" t="s">
        <v>68</v>
      </c>
      <c r="I292" s="3" t="s">
        <v>58</v>
      </c>
      <c r="J292" s="3" t="s">
        <v>60</v>
      </c>
      <c r="L292" s="2" t="s">
        <v>3859</v>
      </c>
      <c r="M292" s="3" t="s">
        <v>681</v>
      </c>
      <c r="O292" s="3" t="s">
        <v>64</v>
      </c>
      <c r="P292" s="3" t="s">
        <v>177</v>
      </c>
      <c r="Q292" s="2" t="s">
        <v>3860</v>
      </c>
      <c r="R292" s="3" t="s">
        <v>66</v>
      </c>
      <c r="S292" s="4">
        <v>15</v>
      </c>
      <c r="T292" s="4">
        <v>28</v>
      </c>
      <c r="U292" s="5" t="s">
        <v>3861</v>
      </c>
      <c r="V292" s="5" t="s">
        <v>3862</v>
      </c>
      <c r="W292" s="5" t="s">
        <v>3376</v>
      </c>
      <c r="X292" s="5" t="s">
        <v>3376</v>
      </c>
      <c r="Y292" s="4">
        <v>823</v>
      </c>
      <c r="Z292" s="4">
        <v>708</v>
      </c>
      <c r="AA292" s="4">
        <v>1088</v>
      </c>
      <c r="AB292" s="4">
        <v>6</v>
      </c>
      <c r="AC292" s="4">
        <v>10</v>
      </c>
      <c r="AD292" s="4">
        <v>30</v>
      </c>
      <c r="AE292" s="4">
        <v>49</v>
      </c>
      <c r="AF292" s="4">
        <v>12</v>
      </c>
      <c r="AG292" s="4">
        <v>21</v>
      </c>
      <c r="AH292" s="4">
        <v>7</v>
      </c>
      <c r="AI292" s="4">
        <v>10</v>
      </c>
      <c r="AJ292" s="4">
        <v>15</v>
      </c>
      <c r="AK292" s="4">
        <v>21</v>
      </c>
      <c r="AL292" s="4">
        <v>4</v>
      </c>
      <c r="AM292" s="4">
        <v>8</v>
      </c>
      <c r="AN292" s="4">
        <v>0</v>
      </c>
      <c r="AO292" s="4">
        <v>1</v>
      </c>
      <c r="AP292" s="3" t="s">
        <v>58</v>
      </c>
      <c r="AQ292" s="3" t="s">
        <v>68</v>
      </c>
      <c r="AR292" s="6" t="str">
        <f>HYPERLINK("http://catalog.hathitrust.org/Record/000475336","HathiTrust Record")</f>
        <v>HathiTrust Record</v>
      </c>
      <c r="AS292" s="6" t="str">
        <f>HYPERLINK("https://creighton-primo.hosted.exlibrisgroup.com/primo-explore/search?tab=default_tab&amp;search_scope=EVERYTHING&amp;vid=01CRU&amp;lang=en_US&amp;offset=0&amp;query=any,contains,991001772449702656","Catalog Record")</f>
        <v>Catalog Record</v>
      </c>
      <c r="AT292" s="6" t="str">
        <f>HYPERLINK("http://www.worldcat.org/oclc/9066768","WorldCat Record")</f>
        <v>WorldCat Record</v>
      </c>
      <c r="AU292" s="3" t="s">
        <v>3863</v>
      </c>
      <c r="AV292" s="3" t="s">
        <v>3864</v>
      </c>
      <c r="AW292" s="3" t="s">
        <v>3865</v>
      </c>
      <c r="AX292" s="3" t="s">
        <v>3865</v>
      </c>
      <c r="AY292" s="3" t="s">
        <v>3866</v>
      </c>
      <c r="AZ292" s="3" t="s">
        <v>73</v>
      </c>
      <c r="BB292" s="3" t="s">
        <v>3867</v>
      </c>
      <c r="BC292" s="3" t="s">
        <v>3868</v>
      </c>
      <c r="BD292" s="3" t="s">
        <v>3869</v>
      </c>
    </row>
    <row r="293" spans="1:56" ht="45" customHeight="1" x14ac:dyDescent="0.25">
      <c r="A293" s="8" t="s">
        <v>58</v>
      </c>
      <c r="B293" s="2" t="s">
        <v>3870</v>
      </c>
      <c r="C293" s="2" t="s">
        <v>3871</v>
      </c>
      <c r="D293" s="2" t="s">
        <v>3872</v>
      </c>
      <c r="F293" s="3" t="s">
        <v>58</v>
      </c>
      <c r="G293" s="3" t="s">
        <v>59</v>
      </c>
      <c r="H293" s="3" t="s">
        <v>58</v>
      </c>
      <c r="I293" s="3" t="s">
        <v>58</v>
      </c>
      <c r="J293" s="3" t="s">
        <v>60</v>
      </c>
      <c r="K293" s="2" t="s">
        <v>3873</v>
      </c>
      <c r="L293" s="2" t="s">
        <v>3874</v>
      </c>
      <c r="M293" s="3" t="s">
        <v>350</v>
      </c>
      <c r="O293" s="3" t="s">
        <v>64</v>
      </c>
      <c r="P293" s="3" t="s">
        <v>177</v>
      </c>
      <c r="R293" s="3" t="s">
        <v>66</v>
      </c>
      <c r="S293" s="4">
        <v>14</v>
      </c>
      <c r="T293" s="4">
        <v>14</v>
      </c>
      <c r="U293" s="5" t="s">
        <v>3875</v>
      </c>
      <c r="V293" s="5" t="s">
        <v>3875</v>
      </c>
      <c r="W293" s="5" t="s">
        <v>1783</v>
      </c>
      <c r="X293" s="5" t="s">
        <v>1783</v>
      </c>
      <c r="Y293" s="4">
        <v>316</v>
      </c>
      <c r="Z293" s="4">
        <v>270</v>
      </c>
      <c r="AA293" s="4">
        <v>334</v>
      </c>
      <c r="AB293" s="4">
        <v>1</v>
      </c>
      <c r="AC293" s="4">
        <v>2</v>
      </c>
      <c r="AD293" s="4">
        <v>6</v>
      </c>
      <c r="AE293" s="4">
        <v>11</v>
      </c>
      <c r="AF293" s="4">
        <v>1</v>
      </c>
      <c r="AG293" s="4">
        <v>4</v>
      </c>
      <c r="AH293" s="4">
        <v>3</v>
      </c>
      <c r="AI293" s="4">
        <v>4</v>
      </c>
      <c r="AJ293" s="4">
        <v>2</v>
      </c>
      <c r="AK293" s="4">
        <v>4</v>
      </c>
      <c r="AL293" s="4">
        <v>0</v>
      </c>
      <c r="AM293" s="4">
        <v>1</v>
      </c>
      <c r="AN293" s="4">
        <v>0</v>
      </c>
      <c r="AO293" s="4">
        <v>0</v>
      </c>
      <c r="AP293" s="3" t="s">
        <v>58</v>
      </c>
      <c r="AQ293" s="3" t="s">
        <v>68</v>
      </c>
      <c r="AR293" s="6" t="str">
        <f>HYPERLINK("http://catalog.hathitrust.org/Record/000010035","HathiTrust Record")</f>
        <v>HathiTrust Record</v>
      </c>
      <c r="AS293" s="6" t="str">
        <f>HYPERLINK("https://creighton-primo.hosted.exlibrisgroup.com/primo-explore/search?tab=default_tab&amp;search_scope=EVERYTHING&amp;vid=01CRU&amp;lang=en_US&amp;offset=0&amp;query=any,contains,991003166139702656","Catalog Record")</f>
        <v>Catalog Record</v>
      </c>
      <c r="AT293" s="6" t="str">
        <f>HYPERLINK("http://www.worldcat.org/oclc/703386","WorldCat Record")</f>
        <v>WorldCat Record</v>
      </c>
      <c r="AU293" s="3" t="s">
        <v>3876</v>
      </c>
      <c r="AV293" s="3" t="s">
        <v>3877</v>
      </c>
      <c r="AW293" s="3" t="s">
        <v>3878</v>
      </c>
      <c r="AX293" s="3" t="s">
        <v>3878</v>
      </c>
      <c r="AY293" s="3" t="s">
        <v>3879</v>
      </c>
      <c r="AZ293" s="3" t="s">
        <v>73</v>
      </c>
      <c r="BB293" s="3" t="s">
        <v>3880</v>
      </c>
      <c r="BC293" s="3" t="s">
        <v>3881</v>
      </c>
      <c r="BD293" s="3" t="s">
        <v>3882</v>
      </c>
    </row>
    <row r="294" spans="1:56" ht="45" customHeight="1" x14ac:dyDescent="0.25">
      <c r="A294" s="8" t="s">
        <v>58</v>
      </c>
      <c r="B294" s="2" t="s">
        <v>3883</v>
      </c>
      <c r="C294" s="2" t="s">
        <v>3884</v>
      </c>
      <c r="D294" s="2" t="s">
        <v>3885</v>
      </c>
      <c r="F294" s="3" t="s">
        <v>58</v>
      </c>
      <c r="G294" s="3" t="s">
        <v>59</v>
      </c>
      <c r="H294" s="3" t="s">
        <v>58</v>
      </c>
      <c r="I294" s="3" t="s">
        <v>58</v>
      </c>
      <c r="J294" s="3" t="s">
        <v>60</v>
      </c>
      <c r="K294" s="2" t="s">
        <v>3886</v>
      </c>
      <c r="L294" s="2" t="s">
        <v>3887</v>
      </c>
      <c r="M294" s="3" t="s">
        <v>2208</v>
      </c>
      <c r="O294" s="3" t="s">
        <v>64</v>
      </c>
      <c r="P294" s="3" t="s">
        <v>177</v>
      </c>
      <c r="R294" s="3" t="s">
        <v>66</v>
      </c>
      <c r="S294" s="4">
        <v>7</v>
      </c>
      <c r="T294" s="4">
        <v>7</v>
      </c>
      <c r="U294" s="5" t="s">
        <v>3847</v>
      </c>
      <c r="V294" s="5" t="s">
        <v>3847</v>
      </c>
      <c r="W294" s="5" t="s">
        <v>3376</v>
      </c>
      <c r="X294" s="5" t="s">
        <v>3376</v>
      </c>
      <c r="Y294" s="4">
        <v>346</v>
      </c>
      <c r="Z294" s="4">
        <v>276</v>
      </c>
      <c r="AA294" s="4">
        <v>317</v>
      </c>
      <c r="AB294" s="4">
        <v>4</v>
      </c>
      <c r="AC294" s="4">
        <v>4</v>
      </c>
      <c r="AD294" s="4">
        <v>13</v>
      </c>
      <c r="AE294" s="4">
        <v>13</v>
      </c>
      <c r="AF294" s="4">
        <v>2</v>
      </c>
      <c r="AG294" s="4">
        <v>2</v>
      </c>
      <c r="AH294" s="4">
        <v>4</v>
      </c>
      <c r="AI294" s="4">
        <v>4</v>
      </c>
      <c r="AJ294" s="4">
        <v>6</v>
      </c>
      <c r="AK294" s="4">
        <v>6</v>
      </c>
      <c r="AL294" s="4">
        <v>3</v>
      </c>
      <c r="AM294" s="4">
        <v>3</v>
      </c>
      <c r="AN294" s="4">
        <v>0</v>
      </c>
      <c r="AO294" s="4">
        <v>0</v>
      </c>
      <c r="AP294" s="3" t="s">
        <v>58</v>
      </c>
      <c r="AQ294" s="3" t="s">
        <v>68</v>
      </c>
      <c r="AR294" s="6" t="str">
        <f>HYPERLINK("http://catalog.hathitrust.org/Record/001571010","HathiTrust Record")</f>
        <v>HathiTrust Record</v>
      </c>
      <c r="AS294" s="6" t="str">
        <f>HYPERLINK("https://creighton-primo.hosted.exlibrisgroup.com/primo-explore/search?tab=default_tab&amp;search_scope=EVERYTHING&amp;vid=01CRU&amp;lang=en_US&amp;offset=0&amp;query=any,contains,991005265609702656","Catalog Record")</f>
        <v>Catalog Record</v>
      </c>
      <c r="AT294" s="6" t="str">
        <f>HYPERLINK("http://www.worldcat.org/oclc/54933","WorldCat Record")</f>
        <v>WorldCat Record</v>
      </c>
      <c r="AU294" s="3" t="s">
        <v>3888</v>
      </c>
      <c r="AV294" s="3" t="s">
        <v>3889</v>
      </c>
      <c r="AW294" s="3" t="s">
        <v>3890</v>
      </c>
      <c r="AX294" s="3" t="s">
        <v>3890</v>
      </c>
      <c r="AY294" s="3" t="s">
        <v>3891</v>
      </c>
      <c r="AZ294" s="3" t="s">
        <v>73</v>
      </c>
      <c r="BC294" s="3" t="s">
        <v>3892</v>
      </c>
      <c r="BD294" s="3" t="s">
        <v>3893</v>
      </c>
    </row>
    <row r="295" spans="1:56" ht="45" customHeight="1" x14ac:dyDescent="0.25">
      <c r="A295" s="8" t="s">
        <v>58</v>
      </c>
      <c r="B295" s="2" t="s">
        <v>3894</v>
      </c>
      <c r="C295" s="2" t="s">
        <v>3895</v>
      </c>
      <c r="D295" s="2" t="s">
        <v>3896</v>
      </c>
      <c r="F295" s="3" t="s">
        <v>58</v>
      </c>
      <c r="G295" s="3" t="s">
        <v>59</v>
      </c>
      <c r="H295" s="3" t="s">
        <v>58</v>
      </c>
      <c r="I295" s="3" t="s">
        <v>58</v>
      </c>
      <c r="J295" s="3" t="s">
        <v>60</v>
      </c>
      <c r="L295" s="2" t="s">
        <v>3897</v>
      </c>
      <c r="M295" s="3" t="s">
        <v>1181</v>
      </c>
      <c r="O295" s="3" t="s">
        <v>64</v>
      </c>
      <c r="P295" s="3" t="s">
        <v>147</v>
      </c>
      <c r="R295" s="3" t="s">
        <v>66</v>
      </c>
      <c r="S295" s="4">
        <v>10</v>
      </c>
      <c r="T295" s="4">
        <v>10</v>
      </c>
      <c r="U295" s="5" t="s">
        <v>2656</v>
      </c>
      <c r="V295" s="5" t="s">
        <v>2656</v>
      </c>
      <c r="W295" s="5" t="s">
        <v>862</v>
      </c>
      <c r="X295" s="5" t="s">
        <v>862</v>
      </c>
      <c r="Y295" s="4">
        <v>168</v>
      </c>
      <c r="Z295" s="4">
        <v>141</v>
      </c>
      <c r="AA295" s="4">
        <v>190</v>
      </c>
      <c r="AB295" s="4">
        <v>1</v>
      </c>
      <c r="AC295" s="4">
        <v>1</v>
      </c>
      <c r="AD295" s="4">
        <v>10</v>
      </c>
      <c r="AE295" s="4">
        <v>11</v>
      </c>
      <c r="AF295" s="4">
        <v>3</v>
      </c>
      <c r="AG295" s="4">
        <v>3</v>
      </c>
      <c r="AH295" s="4">
        <v>3</v>
      </c>
      <c r="AI295" s="4">
        <v>3</v>
      </c>
      <c r="AJ295" s="4">
        <v>6</v>
      </c>
      <c r="AK295" s="4">
        <v>7</v>
      </c>
      <c r="AL295" s="4">
        <v>0</v>
      </c>
      <c r="AM295" s="4">
        <v>0</v>
      </c>
      <c r="AN295" s="4">
        <v>0</v>
      </c>
      <c r="AO295" s="4">
        <v>0</v>
      </c>
      <c r="AP295" s="3" t="s">
        <v>58</v>
      </c>
      <c r="AQ295" s="3" t="s">
        <v>68</v>
      </c>
      <c r="AR295" s="6" t="str">
        <f>HYPERLINK("http://catalog.hathitrust.org/Record/002573718","HathiTrust Record")</f>
        <v>HathiTrust Record</v>
      </c>
      <c r="AS295" s="6" t="str">
        <f>HYPERLINK("https://creighton-primo.hosted.exlibrisgroup.com/primo-explore/search?tab=default_tab&amp;search_scope=EVERYTHING&amp;vid=01CRU&amp;lang=en_US&amp;offset=0&amp;query=any,contains,991001965569702656","Catalog Record")</f>
        <v>Catalog Record</v>
      </c>
      <c r="AT295" s="6" t="str">
        <f>HYPERLINK("http://www.worldcat.org/oclc/24909174","WorldCat Record")</f>
        <v>WorldCat Record</v>
      </c>
      <c r="AU295" s="3" t="s">
        <v>3898</v>
      </c>
      <c r="AV295" s="3" t="s">
        <v>3899</v>
      </c>
      <c r="AW295" s="3" t="s">
        <v>3900</v>
      </c>
      <c r="AX295" s="3" t="s">
        <v>3900</v>
      </c>
      <c r="AY295" s="3" t="s">
        <v>3901</v>
      </c>
      <c r="AZ295" s="3" t="s">
        <v>73</v>
      </c>
      <c r="BB295" s="3" t="s">
        <v>3902</v>
      </c>
      <c r="BC295" s="3" t="s">
        <v>3903</v>
      </c>
      <c r="BD295" s="3" t="s">
        <v>3904</v>
      </c>
    </row>
    <row r="296" spans="1:56" ht="45" customHeight="1" x14ac:dyDescent="0.25">
      <c r="A296" s="8" t="s">
        <v>58</v>
      </c>
      <c r="B296" s="2" t="s">
        <v>3905</v>
      </c>
      <c r="C296" s="2" t="s">
        <v>3906</v>
      </c>
      <c r="D296" s="2" t="s">
        <v>3907</v>
      </c>
      <c r="E296" s="3" t="s">
        <v>550</v>
      </c>
      <c r="F296" s="3" t="s">
        <v>68</v>
      </c>
      <c r="G296" s="3" t="s">
        <v>59</v>
      </c>
      <c r="H296" s="3" t="s">
        <v>58</v>
      </c>
      <c r="I296" s="3" t="s">
        <v>58</v>
      </c>
      <c r="J296" s="3" t="s">
        <v>60</v>
      </c>
      <c r="K296" s="2" t="s">
        <v>3908</v>
      </c>
      <c r="L296" s="2" t="s">
        <v>3909</v>
      </c>
      <c r="M296" s="3" t="s">
        <v>1451</v>
      </c>
      <c r="O296" s="3" t="s">
        <v>64</v>
      </c>
      <c r="P296" s="3" t="s">
        <v>99</v>
      </c>
      <c r="R296" s="3" t="s">
        <v>66</v>
      </c>
      <c r="S296" s="4">
        <v>4</v>
      </c>
      <c r="T296" s="4">
        <v>7</v>
      </c>
      <c r="U296" s="5" t="s">
        <v>3910</v>
      </c>
      <c r="V296" s="5" t="s">
        <v>3910</v>
      </c>
      <c r="W296" s="5" t="s">
        <v>3911</v>
      </c>
      <c r="X296" s="5" t="s">
        <v>3911</v>
      </c>
      <c r="Y296" s="4">
        <v>96</v>
      </c>
      <c r="Z296" s="4">
        <v>87</v>
      </c>
      <c r="AA296" s="4">
        <v>88</v>
      </c>
      <c r="AB296" s="4">
        <v>2</v>
      </c>
      <c r="AC296" s="4">
        <v>2</v>
      </c>
      <c r="AD296" s="4">
        <v>5</v>
      </c>
      <c r="AE296" s="4">
        <v>5</v>
      </c>
      <c r="AF296" s="4">
        <v>3</v>
      </c>
      <c r="AG296" s="4">
        <v>3</v>
      </c>
      <c r="AH296" s="4">
        <v>1</v>
      </c>
      <c r="AI296" s="4">
        <v>1</v>
      </c>
      <c r="AJ296" s="4">
        <v>2</v>
      </c>
      <c r="AK296" s="4">
        <v>2</v>
      </c>
      <c r="AL296" s="4">
        <v>1</v>
      </c>
      <c r="AM296" s="4">
        <v>1</v>
      </c>
      <c r="AN296" s="4">
        <v>0</v>
      </c>
      <c r="AO296" s="4">
        <v>0</v>
      </c>
      <c r="AP296" s="3" t="s">
        <v>58</v>
      </c>
      <c r="AQ296" s="3" t="s">
        <v>58</v>
      </c>
      <c r="AS296" s="6" t="str">
        <f>HYPERLINK("https://creighton-primo.hosted.exlibrisgroup.com/primo-explore/search?tab=default_tab&amp;search_scope=EVERYTHING&amp;vid=01CRU&amp;lang=en_US&amp;offset=0&amp;query=any,contains,991003009469702656","Catalog Record")</f>
        <v>Catalog Record</v>
      </c>
      <c r="AT296" s="6" t="str">
        <f>HYPERLINK("http://www.worldcat.org/oclc/40899416","WorldCat Record")</f>
        <v>WorldCat Record</v>
      </c>
      <c r="AU296" s="3" t="s">
        <v>3912</v>
      </c>
      <c r="AV296" s="3" t="s">
        <v>3913</v>
      </c>
      <c r="AW296" s="3" t="s">
        <v>3914</v>
      </c>
      <c r="AX296" s="3" t="s">
        <v>3914</v>
      </c>
      <c r="AY296" s="3" t="s">
        <v>3915</v>
      </c>
      <c r="AZ296" s="3" t="s">
        <v>73</v>
      </c>
      <c r="BB296" s="3" t="s">
        <v>3916</v>
      </c>
      <c r="BC296" s="3" t="s">
        <v>3917</v>
      </c>
      <c r="BD296" s="3" t="s">
        <v>3918</v>
      </c>
    </row>
    <row r="297" spans="1:56" ht="45" customHeight="1" x14ac:dyDescent="0.25">
      <c r="A297" s="8" t="s">
        <v>58</v>
      </c>
      <c r="B297" s="2" t="s">
        <v>3905</v>
      </c>
      <c r="C297" s="2" t="s">
        <v>3906</v>
      </c>
      <c r="D297" s="2" t="s">
        <v>3907</v>
      </c>
      <c r="E297" s="3" t="s">
        <v>1431</v>
      </c>
      <c r="F297" s="3" t="s">
        <v>68</v>
      </c>
      <c r="G297" s="3" t="s">
        <v>59</v>
      </c>
      <c r="H297" s="3" t="s">
        <v>58</v>
      </c>
      <c r="I297" s="3" t="s">
        <v>58</v>
      </c>
      <c r="J297" s="3" t="s">
        <v>60</v>
      </c>
      <c r="K297" s="2" t="s">
        <v>3908</v>
      </c>
      <c r="L297" s="2" t="s">
        <v>3909</v>
      </c>
      <c r="M297" s="3" t="s">
        <v>1451</v>
      </c>
      <c r="O297" s="3" t="s">
        <v>64</v>
      </c>
      <c r="P297" s="3" t="s">
        <v>99</v>
      </c>
      <c r="R297" s="3" t="s">
        <v>66</v>
      </c>
      <c r="S297" s="4">
        <v>3</v>
      </c>
      <c r="T297" s="4">
        <v>7</v>
      </c>
      <c r="U297" s="5" t="s">
        <v>3919</v>
      </c>
      <c r="V297" s="5" t="s">
        <v>3910</v>
      </c>
      <c r="W297" s="5" t="s">
        <v>3911</v>
      </c>
      <c r="X297" s="5" t="s">
        <v>3911</v>
      </c>
      <c r="Y297" s="4">
        <v>96</v>
      </c>
      <c r="Z297" s="4">
        <v>87</v>
      </c>
      <c r="AA297" s="4">
        <v>88</v>
      </c>
      <c r="AB297" s="4">
        <v>2</v>
      </c>
      <c r="AC297" s="4">
        <v>2</v>
      </c>
      <c r="AD297" s="4">
        <v>5</v>
      </c>
      <c r="AE297" s="4">
        <v>5</v>
      </c>
      <c r="AF297" s="4">
        <v>3</v>
      </c>
      <c r="AG297" s="4">
        <v>3</v>
      </c>
      <c r="AH297" s="4">
        <v>1</v>
      </c>
      <c r="AI297" s="4">
        <v>1</v>
      </c>
      <c r="AJ297" s="4">
        <v>2</v>
      </c>
      <c r="AK297" s="4">
        <v>2</v>
      </c>
      <c r="AL297" s="4">
        <v>1</v>
      </c>
      <c r="AM297" s="4">
        <v>1</v>
      </c>
      <c r="AN297" s="4">
        <v>0</v>
      </c>
      <c r="AO297" s="4">
        <v>0</v>
      </c>
      <c r="AP297" s="3" t="s">
        <v>58</v>
      </c>
      <c r="AQ297" s="3" t="s">
        <v>58</v>
      </c>
      <c r="AS297" s="6" t="str">
        <f>HYPERLINK("https://creighton-primo.hosted.exlibrisgroup.com/primo-explore/search?tab=default_tab&amp;search_scope=EVERYTHING&amp;vid=01CRU&amp;lang=en_US&amp;offset=0&amp;query=any,contains,991003009469702656","Catalog Record")</f>
        <v>Catalog Record</v>
      </c>
      <c r="AT297" s="6" t="str">
        <f>HYPERLINK("http://www.worldcat.org/oclc/40899416","WorldCat Record")</f>
        <v>WorldCat Record</v>
      </c>
      <c r="AU297" s="3" t="s">
        <v>3912</v>
      </c>
      <c r="AV297" s="3" t="s">
        <v>3913</v>
      </c>
      <c r="AW297" s="3" t="s">
        <v>3914</v>
      </c>
      <c r="AX297" s="3" t="s">
        <v>3914</v>
      </c>
      <c r="AY297" s="3" t="s">
        <v>3915</v>
      </c>
      <c r="AZ297" s="3" t="s">
        <v>73</v>
      </c>
      <c r="BB297" s="3" t="s">
        <v>3916</v>
      </c>
      <c r="BC297" s="3" t="s">
        <v>3920</v>
      </c>
      <c r="BD297" s="3" t="s">
        <v>3921</v>
      </c>
    </row>
    <row r="298" spans="1:56" ht="45" customHeight="1" x14ac:dyDescent="0.25">
      <c r="A298" s="8" t="s">
        <v>58</v>
      </c>
      <c r="B298" s="2" t="s">
        <v>3905</v>
      </c>
      <c r="C298" s="2" t="s">
        <v>3906</v>
      </c>
      <c r="D298" s="2" t="s">
        <v>3907</v>
      </c>
      <c r="E298" s="3" t="s">
        <v>3922</v>
      </c>
      <c r="F298" s="3" t="s">
        <v>68</v>
      </c>
      <c r="G298" s="3" t="s">
        <v>59</v>
      </c>
      <c r="H298" s="3" t="s">
        <v>58</v>
      </c>
      <c r="I298" s="3" t="s">
        <v>58</v>
      </c>
      <c r="J298" s="3" t="s">
        <v>60</v>
      </c>
      <c r="K298" s="2" t="s">
        <v>3908</v>
      </c>
      <c r="L298" s="2" t="s">
        <v>3909</v>
      </c>
      <c r="M298" s="3" t="s">
        <v>1451</v>
      </c>
      <c r="O298" s="3" t="s">
        <v>64</v>
      </c>
      <c r="P298" s="3" t="s">
        <v>99</v>
      </c>
      <c r="R298" s="3" t="s">
        <v>66</v>
      </c>
      <c r="S298" s="4">
        <v>0</v>
      </c>
      <c r="T298" s="4">
        <v>7</v>
      </c>
      <c r="V298" s="5" t="s">
        <v>3910</v>
      </c>
      <c r="W298" s="5" t="s">
        <v>3911</v>
      </c>
      <c r="X298" s="5" t="s">
        <v>3911</v>
      </c>
      <c r="Y298" s="4">
        <v>96</v>
      </c>
      <c r="Z298" s="4">
        <v>87</v>
      </c>
      <c r="AA298" s="4">
        <v>88</v>
      </c>
      <c r="AB298" s="4">
        <v>2</v>
      </c>
      <c r="AC298" s="4">
        <v>2</v>
      </c>
      <c r="AD298" s="4">
        <v>5</v>
      </c>
      <c r="AE298" s="4">
        <v>5</v>
      </c>
      <c r="AF298" s="4">
        <v>3</v>
      </c>
      <c r="AG298" s="4">
        <v>3</v>
      </c>
      <c r="AH298" s="4">
        <v>1</v>
      </c>
      <c r="AI298" s="4">
        <v>1</v>
      </c>
      <c r="AJ298" s="4">
        <v>2</v>
      </c>
      <c r="AK298" s="4">
        <v>2</v>
      </c>
      <c r="AL298" s="4">
        <v>1</v>
      </c>
      <c r="AM298" s="4">
        <v>1</v>
      </c>
      <c r="AN298" s="4">
        <v>0</v>
      </c>
      <c r="AO298" s="4">
        <v>0</v>
      </c>
      <c r="AP298" s="3" t="s">
        <v>58</v>
      </c>
      <c r="AQ298" s="3" t="s">
        <v>58</v>
      </c>
      <c r="AS298" s="6" t="str">
        <f>HYPERLINK("https://creighton-primo.hosted.exlibrisgroup.com/primo-explore/search?tab=default_tab&amp;search_scope=EVERYTHING&amp;vid=01CRU&amp;lang=en_US&amp;offset=0&amp;query=any,contains,991003009469702656","Catalog Record")</f>
        <v>Catalog Record</v>
      </c>
      <c r="AT298" s="6" t="str">
        <f>HYPERLINK("http://www.worldcat.org/oclc/40899416","WorldCat Record")</f>
        <v>WorldCat Record</v>
      </c>
      <c r="AU298" s="3" t="s">
        <v>3912</v>
      </c>
      <c r="AV298" s="3" t="s">
        <v>3913</v>
      </c>
      <c r="AW298" s="3" t="s">
        <v>3914</v>
      </c>
      <c r="AX298" s="3" t="s">
        <v>3914</v>
      </c>
      <c r="AY298" s="3" t="s">
        <v>3915</v>
      </c>
      <c r="AZ298" s="3" t="s">
        <v>73</v>
      </c>
      <c r="BB298" s="3" t="s">
        <v>3916</v>
      </c>
      <c r="BC298" s="3" t="s">
        <v>3923</v>
      </c>
      <c r="BD298" s="3" t="s">
        <v>3924</v>
      </c>
    </row>
    <row r="299" spans="1:56" ht="45" customHeight="1" x14ac:dyDescent="0.25">
      <c r="A299" s="8" t="s">
        <v>58</v>
      </c>
      <c r="B299" s="2" t="s">
        <v>3925</v>
      </c>
      <c r="C299" s="2" t="s">
        <v>3926</v>
      </c>
      <c r="D299" s="2" t="s">
        <v>3927</v>
      </c>
      <c r="F299" s="3" t="s">
        <v>58</v>
      </c>
      <c r="G299" s="3" t="s">
        <v>59</v>
      </c>
      <c r="H299" s="3" t="s">
        <v>58</v>
      </c>
      <c r="I299" s="3" t="s">
        <v>58</v>
      </c>
      <c r="J299" s="3" t="s">
        <v>60</v>
      </c>
      <c r="K299" s="2" t="s">
        <v>3928</v>
      </c>
      <c r="L299" s="2" t="s">
        <v>3929</v>
      </c>
      <c r="M299" s="3" t="s">
        <v>494</v>
      </c>
      <c r="O299" s="3" t="s">
        <v>64</v>
      </c>
      <c r="P299" s="3" t="s">
        <v>177</v>
      </c>
      <c r="R299" s="3" t="s">
        <v>66</v>
      </c>
      <c r="S299" s="4">
        <v>7</v>
      </c>
      <c r="T299" s="4">
        <v>7</v>
      </c>
      <c r="U299" s="5" t="s">
        <v>3930</v>
      </c>
      <c r="V299" s="5" t="s">
        <v>3930</v>
      </c>
      <c r="W299" s="5" t="s">
        <v>2995</v>
      </c>
      <c r="X299" s="5" t="s">
        <v>2995</v>
      </c>
      <c r="Y299" s="4">
        <v>28</v>
      </c>
      <c r="Z299" s="4">
        <v>26</v>
      </c>
      <c r="AA299" s="4">
        <v>377</v>
      </c>
      <c r="AB299" s="4">
        <v>1</v>
      </c>
      <c r="AC299" s="4">
        <v>5</v>
      </c>
      <c r="AD299" s="4">
        <v>0</v>
      </c>
      <c r="AE299" s="4">
        <v>5</v>
      </c>
      <c r="AF299" s="4">
        <v>0</v>
      </c>
      <c r="AG299" s="4">
        <v>2</v>
      </c>
      <c r="AH299" s="4">
        <v>0</v>
      </c>
      <c r="AI299" s="4">
        <v>0</v>
      </c>
      <c r="AJ299" s="4">
        <v>0</v>
      </c>
      <c r="AK299" s="4">
        <v>2</v>
      </c>
      <c r="AL299" s="4">
        <v>0</v>
      </c>
      <c r="AM299" s="4">
        <v>3</v>
      </c>
      <c r="AN299" s="4">
        <v>0</v>
      </c>
      <c r="AO299" s="4">
        <v>0</v>
      </c>
      <c r="AP299" s="3" t="s">
        <v>58</v>
      </c>
      <c r="AQ299" s="3" t="s">
        <v>58</v>
      </c>
      <c r="AS299" s="6" t="str">
        <f>HYPERLINK("https://creighton-primo.hosted.exlibrisgroup.com/primo-explore/search?tab=default_tab&amp;search_scope=EVERYTHING&amp;vid=01CRU&amp;lang=en_US&amp;offset=0&amp;query=any,contains,991000648059702656","Catalog Record")</f>
        <v>Catalog Record</v>
      </c>
      <c r="AT299" s="6" t="str">
        <f>HYPERLINK("http://www.worldcat.org/oclc/12143088","WorldCat Record")</f>
        <v>WorldCat Record</v>
      </c>
      <c r="AU299" s="3" t="s">
        <v>3931</v>
      </c>
      <c r="AV299" s="3" t="s">
        <v>3932</v>
      </c>
      <c r="AW299" s="3" t="s">
        <v>3933</v>
      </c>
      <c r="AX299" s="3" t="s">
        <v>3933</v>
      </c>
      <c r="AY299" s="3" t="s">
        <v>3934</v>
      </c>
      <c r="AZ299" s="3" t="s">
        <v>73</v>
      </c>
      <c r="BB299" s="3" t="s">
        <v>3935</v>
      </c>
      <c r="BC299" s="3" t="s">
        <v>3936</v>
      </c>
      <c r="BD299" s="3" t="s">
        <v>3937</v>
      </c>
    </row>
    <row r="300" spans="1:56" ht="45" customHeight="1" x14ac:dyDescent="0.25">
      <c r="A300" s="8" t="s">
        <v>58</v>
      </c>
      <c r="B300" s="2" t="s">
        <v>3938</v>
      </c>
      <c r="C300" s="2" t="s">
        <v>3939</v>
      </c>
      <c r="D300" s="2" t="s">
        <v>3940</v>
      </c>
      <c r="F300" s="3" t="s">
        <v>58</v>
      </c>
      <c r="G300" s="3" t="s">
        <v>59</v>
      </c>
      <c r="H300" s="3" t="s">
        <v>58</v>
      </c>
      <c r="I300" s="3" t="s">
        <v>58</v>
      </c>
      <c r="J300" s="3" t="s">
        <v>60</v>
      </c>
      <c r="K300" s="2" t="s">
        <v>3941</v>
      </c>
      <c r="L300" s="2" t="s">
        <v>3942</v>
      </c>
      <c r="M300" s="3" t="s">
        <v>1041</v>
      </c>
      <c r="O300" s="3" t="s">
        <v>64</v>
      </c>
      <c r="P300" s="3" t="s">
        <v>177</v>
      </c>
      <c r="R300" s="3" t="s">
        <v>66</v>
      </c>
      <c r="S300" s="4">
        <v>4</v>
      </c>
      <c r="T300" s="4">
        <v>4</v>
      </c>
      <c r="U300" s="5" t="s">
        <v>3280</v>
      </c>
      <c r="V300" s="5" t="s">
        <v>3280</v>
      </c>
      <c r="W300" s="5" t="s">
        <v>3943</v>
      </c>
      <c r="X300" s="5" t="s">
        <v>3943</v>
      </c>
      <c r="Y300" s="4">
        <v>424</v>
      </c>
      <c r="Z300" s="4">
        <v>341</v>
      </c>
      <c r="AA300" s="4">
        <v>398</v>
      </c>
      <c r="AB300" s="4">
        <v>3</v>
      </c>
      <c r="AC300" s="4">
        <v>3</v>
      </c>
      <c r="AD300" s="4">
        <v>12</v>
      </c>
      <c r="AE300" s="4">
        <v>14</v>
      </c>
      <c r="AF300" s="4">
        <v>5</v>
      </c>
      <c r="AG300" s="4">
        <v>6</v>
      </c>
      <c r="AH300" s="4">
        <v>2</v>
      </c>
      <c r="AI300" s="4">
        <v>3</v>
      </c>
      <c r="AJ300" s="4">
        <v>5</v>
      </c>
      <c r="AK300" s="4">
        <v>5</v>
      </c>
      <c r="AL300" s="4">
        <v>2</v>
      </c>
      <c r="AM300" s="4">
        <v>2</v>
      </c>
      <c r="AN300" s="4">
        <v>0</v>
      </c>
      <c r="AO300" s="4">
        <v>0</v>
      </c>
      <c r="AP300" s="3" t="s">
        <v>58</v>
      </c>
      <c r="AQ300" s="3" t="s">
        <v>58</v>
      </c>
      <c r="AS300" s="6" t="str">
        <f>HYPERLINK("https://creighton-primo.hosted.exlibrisgroup.com/primo-explore/search?tab=default_tab&amp;search_scope=EVERYTHING&amp;vid=01CRU&amp;lang=en_US&amp;offset=0&amp;query=any,contains,991004101609702656","Catalog Record")</f>
        <v>Catalog Record</v>
      </c>
      <c r="AT300" s="6" t="str">
        <f>HYPERLINK("http://www.worldcat.org/oclc/49305842","WorldCat Record")</f>
        <v>WorldCat Record</v>
      </c>
      <c r="AU300" s="3" t="s">
        <v>3944</v>
      </c>
      <c r="AV300" s="3" t="s">
        <v>3945</v>
      </c>
      <c r="AW300" s="3" t="s">
        <v>3946</v>
      </c>
      <c r="AX300" s="3" t="s">
        <v>3946</v>
      </c>
      <c r="AY300" s="3" t="s">
        <v>3947</v>
      </c>
      <c r="AZ300" s="3" t="s">
        <v>73</v>
      </c>
      <c r="BB300" s="3" t="s">
        <v>3948</v>
      </c>
      <c r="BC300" s="3" t="s">
        <v>3949</v>
      </c>
      <c r="BD300" s="3" t="s">
        <v>3950</v>
      </c>
    </row>
    <row r="301" spans="1:56" ht="45" customHeight="1" x14ac:dyDescent="0.25">
      <c r="A301" s="8" t="s">
        <v>58</v>
      </c>
      <c r="B301" s="2" t="s">
        <v>3951</v>
      </c>
      <c r="C301" s="2" t="s">
        <v>3952</v>
      </c>
      <c r="D301" s="2" t="s">
        <v>3953</v>
      </c>
      <c r="F301" s="3" t="s">
        <v>58</v>
      </c>
      <c r="G301" s="3" t="s">
        <v>59</v>
      </c>
      <c r="H301" s="3" t="s">
        <v>58</v>
      </c>
      <c r="I301" s="3" t="s">
        <v>58</v>
      </c>
      <c r="J301" s="3" t="s">
        <v>60</v>
      </c>
      <c r="L301" s="2" t="s">
        <v>3954</v>
      </c>
      <c r="M301" s="3" t="s">
        <v>3388</v>
      </c>
      <c r="O301" s="3" t="s">
        <v>64</v>
      </c>
      <c r="P301" s="3" t="s">
        <v>250</v>
      </c>
      <c r="R301" s="3" t="s">
        <v>66</v>
      </c>
      <c r="S301" s="4">
        <v>1</v>
      </c>
      <c r="T301" s="4">
        <v>1</v>
      </c>
      <c r="U301" s="5" t="s">
        <v>3955</v>
      </c>
      <c r="V301" s="5" t="s">
        <v>3955</v>
      </c>
      <c r="W301" s="5" t="s">
        <v>3956</v>
      </c>
      <c r="X301" s="5" t="s">
        <v>3956</v>
      </c>
      <c r="Y301" s="4">
        <v>242</v>
      </c>
      <c r="Z301" s="4">
        <v>195</v>
      </c>
      <c r="AA301" s="4">
        <v>779</v>
      </c>
      <c r="AB301" s="4">
        <v>3</v>
      </c>
      <c r="AC301" s="4">
        <v>31</v>
      </c>
      <c r="AD301" s="4">
        <v>11</v>
      </c>
      <c r="AE301" s="4">
        <v>30</v>
      </c>
      <c r="AF301" s="4">
        <v>3</v>
      </c>
      <c r="AG301" s="4">
        <v>8</v>
      </c>
      <c r="AH301" s="4">
        <v>3</v>
      </c>
      <c r="AI301" s="4">
        <v>4</v>
      </c>
      <c r="AJ301" s="4">
        <v>5</v>
      </c>
      <c r="AK301" s="4">
        <v>10</v>
      </c>
      <c r="AL301" s="4">
        <v>2</v>
      </c>
      <c r="AM301" s="4">
        <v>12</v>
      </c>
      <c r="AN301" s="4">
        <v>0</v>
      </c>
      <c r="AO301" s="4">
        <v>0</v>
      </c>
      <c r="AP301" s="3" t="s">
        <v>58</v>
      </c>
      <c r="AQ301" s="3" t="s">
        <v>58</v>
      </c>
      <c r="AS301" s="6" t="str">
        <f>HYPERLINK("https://creighton-primo.hosted.exlibrisgroup.com/primo-explore/search?tab=default_tab&amp;search_scope=EVERYTHING&amp;vid=01CRU&amp;lang=en_US&amp;offset=0&amp;query=any,contains,991004391639702656","Catalog Record")</f>
        <v>Catalog Record</v>
      </c>
      <c r="AT301" s="6" t="str">
        <f>HYPERLINK("http://www.worldcat.org/oclc/57240367","WorldCat Record")</f>
        <v>WorldCat Record</v>
      </c>
      <c r="AU301" s="3" t="s">
        <v>3957</v>
      </c>
      <c r="AV301" s="3" t="s">
        <v>3958</v>
      </c>
      <c r="AW301" s="3" t="s">
        <v>3959</v>
      </c>
      <c r="AX301" s="3" t="s">
        <v>3959</v>
      </c>
      <c r="AY301" s="3" t="s">
        <v>3960</v>
      </c>
      <c r="AZ301" s="3" t="s">
        <v>73</v>
      </c>
      <c r="BB301" s="3" t="s">
        <v>3961</v>
      </c>
      <c r="BC301" s="3" t="s">
        <v>3962</v>
      </c>
      <c r="BD301" s="3" t="s">
        <v>3963</v>
      </c>
    </row>
    <row r="302" spans="1:56" ht="45" customHeight="1" x14ac:dyDescent="0.25">
      <c r="A302" s="8" t="s">
        <v>58</v>
      </c>
      <c r="B302" s="2" t="s">
        <v>3964</v>
      </c>
      <c r="C302" s="2" t="s">
        <v>3965</v>
      </c>
      <c r="D302" s="2" t="s">
        <v>3966</v>
      </c>
      <c r="F302" s="3" t="s">
        <v>58</v>
      </c>
      <c r="G302" s="3" t="s">
        <v>59</v>
      </c>
      <c r="H302" s="3" t="s">
        <v>68</v>
      </c>
      <c r="I302" s="3" t="s">
        <v>58</v>
      </c>
      <c r="J302" s="3" t="s">
        <v>60</v>
      </c>
      <c r="L302" s="2" t="s">
        <v>3967</v>
      </c>
      <c r="M302" s="3" t="s">
        <v>1013</v>
      </c>
      <c r="O302" s="3" t="s">
        <v>64</v>
      </c>
      <c r="P302" s="3" t="s">
        <v>177</v>
      </c>
      <c r="R302" s="3" t="s">
        <v>66</v>
      </c>
      <c r="S302" s="4">
        <v>15</v>
      </c>
      <c r="T302" s="4">
        <v>15</v>
      </c>
      <c r="U302" s="5" t="s">
        <v>3968</v>
      </c>
      <c r="V302" s="5" t="s">
        <v>3968</v>
      </c>
      <c r="W302" s="5" t="s">
        <v>2002</v>
      </c>
      <c r="X302" s="5" t="s">
        <v>2002</v>
      </c>
      <c r="Y302" s="4">
        <v>481</v>
      </c>
      <c r="Z302" s="4">
        <v>422</v>
      </c>
      <c r="AA302" s="4">
        <v>428</v>
      </c>
      <c r="AB302" s="4">
        <v>3</v>
      </c>
      <c r="AC302" s="4">
        <v>3</v>
      </c>
      <c r="AD302" s="4">
        <v>16</v>
      </c>
      <c r="AE302" s="4">
        <v>16</v>
      </c>
      <c r="AF302" s="4">
        <v>4</v>
      </c>
      <c r="AG302" s="4">
        <v>4</v>
      </c>
      <c r="AH302" s="4">
        <v>6</v>
      </c>
      <c r="AI302" s="4">
        <v>6</v>
      </c>
      <c r="AJ302" s="4">
        <v>10</v>
      </c>
      <c r="AK302" s="4">
        <v>10</v>
      </c>
      <c r="AL302" s="4">
        <v>1</v>
      </c>
      <c r="AM302" s="4">
        <v>1</v>
      </c>
      <c r="AN302" s="4">
        <v>0</v>
      </c>
      <c r="AO302" s="4">
        <v>0</v>
      </c>
      <c r="AP302" s="3" t="s">
        <v>58</v>
      </c>
      <c r="AQ302" s="3" t="s">
        <v>58</v>
      </c>
      <c r="AS302" s="6" t="str">
        <f>HYPERLINK("https://creighton-primo.hosted.exlibrisgroup.com/primo-explore/search?tab=default_tab&amp;search_scope=EVERYTHING&amp;vid=01CRU&amp;lang=en_US&amp;offset=0&amp;query=any,contains,991000760449702656","Catalog Record")</f>
        <v>Catalog Record</v>
      </c>
      <c r="AT302" s="6" t="str">
        <f>HYPERLINK("http://www.worldcat.org/oclc/12972897","WorldCat Record")</f>
        <v>WorldCat Record</v>
      </c>
      <c r="AU302" s="3" t="s">
        <v>3969</v>
      </c>
      <c r="AV302" s="3" t="s">
        <v>3970</v>
      </c>
      <c r="AW302" s="3" t="s">
        <v>3971</v>
      </c>
      <c r="AX302" s="3" t="s">
        <v>3971</v>
      </c>
      <c r="AY302" s="3" t="s">
        <v>3972</v>
      </c>
      <c r="AZ302" s="3" t="s">
        <v>73</v>
      </c>
      <c r="BB302" s="3" t="s">
        <v>3973</v>
      </c>
      <c r="BC302" s="3" t="s">
        <v>3974</v>
      </c>
      <c r="BD302" s="3" t="s">
        <v>3975</v>
      </c>
    </row>
    <row r="303" spans="1:56" ht="45" customHeight="1" x14ac:dyDescent="0.25">
      <c r="A303" s="8" t="s">
        <v>58</v>
      </c>
      <c r="B303" s="2" t="s">
        <v>3976</v>
      </c>
      <c r="C303" s="2" t="s">
        <v>3977</v>
      </c>
      <c r="D303" s="2" t="s">
        <v>3978</v>
      </c>
      <c r="F303" s="3" t="s">
        <v>58</v>
      </c>
      <c r="G303" s="3" t="s">
        <v>59</v>
      </c>
      <c r="H303" s="3" t="s">
        <v>58</v>
      </c>
      <c r="I303" s="3" t="s">
        <v>58</v>
      </c>
      <c r="J303" s="3" t="s">
        <v>60</v>
      </c>
      <c r="K303" s="2" t="s">
        <v>3979</v>
      </c>
      <c r="L303" s="2" t="s">
        <v>3897</v>
      </c>
      <c r="M303" s="3" t="s">
        <v>219</v>
      </c>
      <c r="N303" s="2" t="s">
        <v>63</v>
      </c>
      <c r="O303" s="3" t="s">
        <v>64</v>
      </c>
      <c r="P303" s="3" t="s">
        <v>147</v>
      </c>
      <c r="Q303" s="2" t="s">
        <v>3980</v>
      </c>
      <c r="R303" s="3" t="s">
        <v>66</v>
      </c>
      <c r="S303" s="4">
        <v>21</v>
      </c>
      <c r="T303" s="4">
        <v>21</v>
      </c>
      <c r="U303" s="5" t="s">
        <v>3981</v>
      </c>
      <c r="V303" s="5" t="s">
        <v>3981</v>
      </c>
      <c r="W303" s="5" t="s">
        <v>3982</v>
      </c>
      <c r="X303" s="5" t="s">
        <v>3982</v>
      </c>
      <c r="Y303" s="4">
        <v>333</v>
      </c>
      <c r="Z303" s="4">
        <v>298</v>
      </c>
      <c r="AA303" s="4">
        <v>318</v>
      </c>
      <c r="AB303" s="4">
        <v>3</v>
      </c>
      <c r="AC303" s="4">
        <v>3</v>
      </c>
      <c r="AD303" s="4">
        <v>15</v>
      </c>
      <c r="AE303" s="4">
        <v>16</v>
      </c>
      <c r="AF303" s="4">
        <v>3</v>
      </c>
      <c r="AG303" s="4">
        <v>4</v>
      </c>
      <c r="AH303" s="4">
        <v>5</v>
      </c>
      <c r="AI303" s="4">
        <v>5</v>
      </c>
      <c r="AJ303" s="4">
        <v>8</v>
      </c>
      <c r="AK303" s="4">
        <v>8</v>
      </c>
      <c r="AL303" s="4">
        <v>2</v>
      </c>
      <c r="AM303" s="4">
        <v>2</v>
      </c>
      <c r="AN303" s="4">
        <v>0</v>
      </c>
      <c r="AO303" s="4">
        <v>0</v>
      </c>
      <c r="AP303" s="3" t="s">
        <v>58</v>
      </c>
      <c r="AQ303" s="3" t="s">
        <v>68</v>
      </c>
      <c r="AR303" s="6" t="str">
        <f>HYPERLINK("http://catalog.hathitrust.org/Record/002512800","HathiTrust Record")</f>
        <v>HathiTrust Record</v>
      </c>
      <c r="AS303" s="6" t="str">
        <f>HYPERLINK("https://creighton-primo.hosted.exlibrisgroup.com/primo-explore/search?tab=default_tab&amp;search_scope=EVERYTHING&amp;vid=01CRU&amp;lang=en_US&amp;offset=0&amp;query=any,contains,991001897379702656","Catalog Record")</f>
        <v>Catalog Record</v>
      </c>
      <c r="AT303" s="6" t="str">
        <f>HYPERLINK("http://www.worldcat.org/oclc/23972978","WorldCat Record")</f>
        <v>WorldCat Record</v>
      </c>
      <c r="AU303" s="3" t="s">
        <v>3983</v>
      </c>
      <c r="AV303" s="3" t="s">
        <v>3984</v>
      </c>
      <c r="AW303" s="3" t="s">
        <v>3985</v>
      </c>
      <c r="AX303" s="3" t="s">
        <v>3985</v>
      </c>
      <c r="AY303" s="3" t="s">
        <v>3986</v>
      </c>
      <c r="AZ303" s="3" t="s">
        <v>73</v>
      </c>
      <c r="BB303" s="3" t="s">
        <v>3987</v>
      </c>
      <c r="BC303" s="3" t="s">
        <v>3988</v>
      </c>
      <c r="BD303" s="3" t="s">
        <v>3989</v>
      </c>
    </row>
    <row r="304" spans="1:56" ht="45" customHeight="1" x14ac:dyDescent="0.25">
      <c r="A304" s="8" t="s">
        <v>58</v>
      </c>
      <c r="B304" s="2" t="s">
        <v>3990</v>
      </c>
      <c r="C304" s="2" t="s">
        <v>3991</v>
      </c>
      <c r="D304" s="2" t="s">
        <v>3992</v>
      </c>
      <c r="F304" s="3" t="s">
        <v>58</v>
      </c>
      <c r="G304" s="3" t="s">
        <v>59</v>
      </c>
      <c r="H304" s="3" t="s">
        <v>58</v>
      </c>
      <c r="I304" s="3" t="s">
        <v>58</v>
      </c>
      <c r="J304" s="3" t="s">
        <v>60</v>
      </c>
      <c r="K304" s="2" t="s">
        <v>3993</v>
      </c>
      <c r="L304" s="2" t="s">
        <v>3994</v>
      </c>
      <c r="M304" s="3" t="s">
        <v>1451</v>
      </c>
      <c r="O304" s="3" t="s">
        <v>64</v>
      </c>
      <c r="P304" s="3" t="s">
        <v>2053</v>
      </c>
      <c r="R304" s="3" t="s">
        <v>66</v>
      </c>
      <c r="S304" s="4">
        <v>5</v>
      </c>
      <c r="T304" s="4">
        <v>5</v>
      </c>
      <c r="U304" s="5" t="s">
        <v>3995</v>
      </c>
      <c r="V304" s="5" t="s">
        <v>3995</v>
      </c>
      <c r="W304" s="5" t="s">
        <v>1704</v>
      </c>
      <c r="X304" s="5" t="s">
        <v>1704</v>
      </c>
      <c r="Y304" s="4">
        <v>73</v>
      </c>
      <c r="Z304" s="4">
        <v>55</v>
      </c>
      <c r="AA304" s="4">
        <v>61</v>
      </c>
      <c r="AB304" s="4">
        <v>1</v>
      </c>
      <c r="AC304" s="4">
        <v>1</v>
      </c>
      <c r="AD304" s="4">
        <v>3</v>
      </c>
      <c r="AE304" s="4">
        <v>3</v>
      </c>
      <c r="AF304" s="4">
        <v>2</v>
      </c>
      <c r="AG304" s="4">
        <v>2</v>
      </c>
      <c r="AH304" s="4">
        <v>1</v>
      </c>
      <c r="AI304" s="4">
        <v>1</v>
      </c>
      <c r="AJ304" s="4">
        <v>2</v>
      </c>
      <c r="AK304" s="4">
        <v>2</v>
      </c>
      <c r="AL304" s="4">
        <v>0</v>
      </c>
      <c r="AM304" s="4">
        <v>0</v>
      </c>
      <c r="AN304" s="4">
        <v>0</v>
      </c>
      <c r="AO304" s="4">
        <v>0</v>
      </c>
      <c r="AP304" s="3" t="s">
        <v>58</v>
      </c>
      <c r="AQ304" s="3" t="s">
        <v>68</v>
      </c>
      <c r="AR304" s="6" t="str">
        <f>HYPERLINK("http://catalog.hathitrust.org/Record/007064317","HathiTrust Record")</f>
        <v>HathiTrust Record</v>
      </c>
      <c r="AS304" s="6" t="str">
        <f>HYPERLINK("https://creighton-primo.hosted.exlibrisgroup.com/primo-explore/search?tab=default_tab&amp;search_scope=EVERYTHING&amp;vid=01CRU&amp;lang=en_US&amp;offset=0&amp;query=any,contains,991003028299702656","Catalog Record")</f>
        <v>Catalog Record</v>
      </c>
      <c r="AT304" s="6" t="str">
        <f>HYPERLINK("http://www.worldcat.org/oclc/41425895","WorldCat Record")</f>
        <v>WorldCat Record</v>
      </c>
      <c r="AU304" s="3" t="s">
        <v>3996</v>
      </c>
      <c r="AV304" s="3" t="s">
        <v>3997</v>
      </c>
      <c r="AW304" s="3" t="s">
        <v>3998</v>
      </c>
      <c r="AX304" s="3" t="s">
        <v>3998</v>
      </c>
      <c r="AY304" s="3" t="s">
        <v>3999</v>
      </c>
      <c r="AZ304" s="3" t="s">
        <v>73</v>
      </c>
      <c r="BB304" s="3" t="s">
        <v>4000</v>
      </c>
      <c r="BC304" s="3" t="s">
        <v>4001</v>
      </c>
      <c r="BD304" s="3" t="s">
        <v>4002</v>
      </c>
    </row>
    <row r="305" spans="1:56" ht="45" customHeight="1" x14ac:dyDescent="0.25">
      <c r="A305" s="8" t="s">
        <v>58</v>
      </c>
      <c r="B305" s="2" t="s">
        <v>4003</v>
      </c>
      <c r="C305" s="2" t="s">
        <v>4004</v>
      </c>
      <c r="D305" s="2" t="s">
        <v>4005</v>
      </c>
      <c r="F305" s="3" t="s">
        <v>58</v>
      </c>
      <c r="G305" s="3" t="s">
        <v>59</v>
      </c>
      <c r="H305" s="3" t="s">
        <v>58</v>
      </c>
      <c r="I305" s="3" t="s">
        <v>58</v>
      </c>
      <c r="J305" s="3" t="s">
        <v>60</v>
      </c>
      <c r="L305" s="2" t="s">
        <v>4006</v>
      </c>
      <c r="M305" s="3" t="s">
        <v>580</v>
      </c>
      <c r="O305" s="3" t="s">
        <v>64</v>
      </c>
      <c r="P305" s="3" t="s">
        <v>114</v>
      </c>
      <c r="R305" s="3" t="s">
        <v>66</v>
      </c>
      <c r="S305" s="4">
        <v>38</v>
      </c>
      <c r="T305" s="4">
        <v>38</v>
      </c>
      <c r="U305" s="5" t="s">
        <v>4007</v>
      </c>
      <c r="V305" s="5" t="s">
        <v>4007</v>
      </c>
      <c r="W305" s="5" t="s">
        <v>4008</v>
      </c>
      <c r="X305" s="5" t="s">
        <v>4008</v>
      </c>
      <c r="Y305" s="4">
        <v>96</v>
      </c>
      <c r="Z305" s="4">
        <v>75</v>
      </c>
      <c r="AA305" s="4">
        <v>78</v>
      </c>
      <c r="AB305" s="4">
        <v>1</v>
      </c>
      <c r="AC305" s="4">
        <v>1</v>
      </c>
      <c r="AD305" s="4">
        <v>4</v>
      </c>
      <c r="AE305" s="4">
        <v>4</v>
      </c>
      <c r="AF305" s="4">
        <v>2</v>
      </c>
      <c r="AG305" s="4">
        <v>2</v>
      </c>
      <c r="AH305" s="4">
        <v>0</v>
      </c>
      <c r="AI305" s="4">
        <v>0</v>
      </c>
      <c r="AJ305" s="4">
        <v>4</v>
      </c>
      <c r="AK305" s="4">
        <v>4</v>
      </c>
      <c r="AL305" s="4">
        <v>0</v>
      </c>
      <c r="AM305" s="4">
        <v>0</v>
      </c>
      <c r="AN305" s="4">
        <v>0</v>
      </c>
      <c r="AO305" s="4">
        <v>0</v>
      </c>
      <c r="AP305" s="3" t="s">
        <v>58</v>
      </c>
      <c r="AQ305" s="3" t="s">
        <v>68</v>
      </c>
      <c r="AR305" s="6" t="str">
        <f>HYPERLINK("http://catalog.hathitrust.org/Record/001546252","HathiTrust Record")</f>
        <v>HathiTrust Record</v>
      </c>
      <c r="AS305" s="6" t="str">
        <f>HYPERLINK("https://creighton-primo.hosted.exlibrisgroup.com/primo-explore/search?tab=default_tab&amp;search_scope=EVERYTHING&amp;vid=01CRU&amp;lang=en_US&amp;offset=0&amp;query=any,contains,991001475879702656","Catalog Record")</f>
        <v>Catalog Record</v>
      </c>
      <c r="AT305" s="6" t="str">
        <f>HYPERLINK("http://www.worldcat.org/oclc/19561451","WorldCat Record")</f>
        <v>WorldCat Record</v>
      </c>
      <c r="AU305" s="3" t="s">
        <v>4009</v>
      </c>
      <c r="AV305" s="3" t="s">
        <v>4010</v>
      </c>
      <c r="AW305" s="3" t="s">
        <v>4011</v>
      </c>
      <c r="AX305" s="3" t="s">
        <v>4011</v>
      </c>
      <c r="AY305" s="3" t="s">
        <v>4012</v>
      </c>
      <c r="AZ305" s="3" t="s">
        <v>73</v>
      </c>
      <c r="BB305" s="3" t="s">
        <v>4013</v>
      </c>
      <c r="BC305" s="3" t="s">
        <v>4014</v>
      </c>
      <c r="BD305" s="3" t="s">
        <v>4015</v>
      </c>
    </row>
    <row r="306" spans="1:56" ht="45" customHeight="1" x14ac:dyDescent="0.25">
      <c r="A306" s="8" t="s">
        <v>58</v>
      </c>
      <c r="B306" s="2" t="s">
        <v>4016</v>
      </c>
      <c r="C306" s="2" t="s">
        <v>4017</v>
      </c>
      <c r="D306" s="2" t="s">
        <v>4018</v>
      </c>
      <c r="F306" s="3" t="s">
        <v>58</v>
      </c>
      <c r="G306" s="3" t="s">
        <v>59</v>
      </c>
      <c r="H306" s="3" t="s">
        <v>68</v>
      </c>
      <c r="I306" s="3" t="s">
        <v>58</v>
      </c>
      <c r="J306" s="3" t="s">
        <v>60</v>
      </c>
      <c r="L306" s="2" t="s">
        <v>4019</v>
      </c>
      <c r="M306" s="3" t="s">
        <v>129</v>
      </c>
      <c r="O306" s="3" t="s">
        <v>64</v>
      </c>
      <c r="P306" s="3" t="s">
        <v>177</v>
      </c>
      <c r="Q306" s="2" t="s">
        <v>4020</v>
      </c>
      <c r="R306" s="3" t="s">
        <v>66</v>
      </c>
      <c r="S306" s="4">
        <v>35</v>
      </c>
      <c r="T306" s="4">
        <v>45</v>
      </c>
      <c r="U306" s="5" t="s">
        <v>4021</v>
      </c>
      <c r="V306" s="5" t="s">
        <v>4021</v>
      </c>
      <c r="W306" s="5" t="s">
        <v>2029</v>
      </c>
      <c r="X306" s="5" t="s">
        <v>2029</v>
      </c>
      <c r="Y306" s="4">
        <v>561</v>
      </c>
      <c r="Z306" s="4">
        <v>460</v>
      </c>
      <c r="AA306" s="4">
        <v>467</v>
      </c>
      <c r="AB306" s="4">
        <v>6</v>
      </c>
      <c r="AC306" s="4">
        <v>6</v>
      </c>
      <c r="AD306" s="4">
        <v>23</v>
      </c>
      <c r="AE306" s="4">
        <v>23</v>
      </c>
      <c r="AF306" s="4">
        <v>9</v>
      </c>
      <c r="AG306" s="4">
        <v>9</v>
      </c>
      <c r="AH306" s="4">
        <v>6</v>
      </c>
      <c r="AI306" s="4">
        <v>6</v>
      </c>
      <c r="AJ306" s="4">
        <v>11</v>
      </c>
      <c r="AK306" s="4">
        <v>11</v>
      </c>
      <c r="AL306" s="4">
        <v>3</v>
      </c>
      <c r="AM306" s="4">
        <v>3</v>
      </c>
      <c r="AN306" s="4">
        <v>0</v>
      </c>
      <c r="AO306" s="4">
        <v>0</v>
      </c>
      <c r="AP306" s="3" t="s">
        <v>58</v>
      </c>
      <c r="AQ306" s="3" t="s">
        <v>68</v>
      </c>
      <c r="AR306" s="6" t="str">
        <f>HYPERLINK("http://catalog.hathitrust.org/Record/000710503","HathiTrust Record")</f>
        <v>HathiTrust Record</v>
      </c>
      <c r="AS306" s="6" t="str">
        <f>HYPERLINK("https://creighton-primo.hosted.exlibrisgroup.com/primo-explore/search?tab=default_tab&amp;search_scope=EVERYTHING&amp;vid=01CRU&amp;lang=en_US&amp;offset=0&amp;query=any,contains,991001786629702656","Catalog Record")</f>
        <v>Catalog Record</v>
      </c>
      <c r="AT306" s="6" t="str">
        <f>HYPERLINK("http://www.worldcat.org/oclc/2020544","WorldCat Record")</f>
        <v>WorldCat Record</v>
      </c>
      <c r="AU306" s="3" t="s">
        <v>4022</v>
      </c>
      <c r="AV306" s="3" t="s">
        <v>4023</v>
      </c>
      <c r="AW306" s="3" t="s">
        <v>4024</v>
      </c>
      <c r="AX306" s="3" t="s">
        <v>4024</v>
      </c>
      <c r="AY306" s="3" t="s">
        <v>4025</v>
      </c>
      <c r="AZ306" s="3" t="s">
        <v>73</v>
      </c>
      <c r="BC306" s="3" t="s">
        <v>4026</v>
      </c>
      <c r="BD306" s="3" t="s">
        <v>4027</v>
      </c>
    </row>
    <row r="307" spans="1:56" ht="45" customHeight="1" x14ac:dyDescent="0.25">
      <c r="A307" s="8" t="s">
        <v>58</v>
      </c>
      <c r="B307" s="2" t="s">
        <v>4028</v>
      </c>
      <c r="C307" s="2" t="s">
        <v>4029</v>
      </c>
      <c r="D307" s="2" t="s">
        <v>4030</v>
      </c>
      <c r="F307" s="3" t="s">
        <v>58</v>
      </c>
      <c r="G307" s="3" t="s">
        <v>59</v>
      </c>
      <c r="H307" s="3" t="s">
        <v>58</v>
      </c>
      <c r="I307" s="3" t="s">
        <v>58</v>
      </c>
      <c r="J307" s="3" t="s">
        <v>60</v>
      </c>
      <c r="L307" s="2" t="s">
        <v>4031</v>
      </c>
      <c r="M307" s="3" t="s">
        <v>291</v>
      </c>
      <c r="O307" s="3" t="s">
        <v>64</v>
      </c>
      <c r="P307" s="3" t="s">
        <v>99</v>
      </c>
      <c r="R307" s="3" t="s">
        <v>66</v>
      </c>
      <c r="S307" s="4">
        <v>33</v>
      </c>
      <c r="T307" s="4">
        <v>33</v>
      </c>
      <c r="U307" s="5" t="s">
        <v>4032</v>
      </c>
      <c r="V307" s="5" t="s">
        <v>4032</v>
      </c>
      <c r="W307" s="5" t="s">
        <v>2002</v>
      </c>
      <c r="X307" s="5" t="s">
        <v>2002</v>
      </c>
      <c r="Y307" s="4">
        <v>231</v>
      </c>
      <c r="Z307" s="4">
        <v>208</v>
      </c>
      <c r="AA307" s="4">
        <v>213</v>
      </c>
      <c r="AB307" s="4">
        <v>2</v>
      </c>
      <c r="AC307" s="4">
        <v>2</v>
      </c>
      <c r="AD307" s="4">
        <v>3</v>
      </c>
      <c r="AE307" s="4">
        <v>3</v>
      </c>
      <c r="AF307" s="4">
        <v>1</v>
      </c>
      <c r="AG307" s="4">
        <v>1</v>
      </c>
      <c r="AH307" s="4">
        <v>0</v>
      </c>
      <c r="AI307" s="4">
        <v>0</v>
      </c>
      <c r="AJ307" s="4">
        <v>1</v>
      </c>
      <c r="AK307" s="4">
        <v>1</v>
      </c>
      <c r="AL307" s="4">
        <v>1</v>
      </c>
      <c r="AM307" s="4">
        <v>1</v>
      </c>
      <c r="AN307" s="4">
        <v>0</v>
      </c>
      <c r="AO307" s="4">
        <v>0</v>
      </c>
      <c r="AP307" s="3" t="s">
        <v>58</v>
      </c>
      <c r="AQ307" s="3" t="s">
        <v>58</v>
      </c>
      <c r="AS307" s="6" t="str">
        <f>HYPERLINK("https://creighton-primo.hosted.exlibrisgroup.com/primo-explore/search?tab=default_tab&amp;search_scope=EVERYTHING&amp;vid=01CRU&amp;lang=en_US&amp;offset=0&amp;query=any,contains,991005082729702656","Catalog Record")</f>
        <v>Catalog Record</v>
      </c>
      <c r="AT307" s="6" t="str">
        <f>HYPERLINK("http://www.worldcat.org/oclc/7175089","WorldCat Record")</f>
        <v>WorldCat Record</v>
      </c>
      <c r="AU307" s="3" t="s">
        <v>4033</v>
      </c>
      <c r="AV307" s="3" t="s">
        <v>4034</v>
      </c>
      <c r="AW307" s="3" t="s">
        <v>4035</v>
      </c>
      <c r="AX307" s="3" t="s">
        <v>4035</v>
      </c>
      <c r="AY307" s="3" t="s">
        <v>4036</v>
      </c>
      <c r="AZ307" s="3" t="s">
        <v>73</v>
      </c>
      <c r="BB307" s="3" t="s">
        <v>4037</v>
      </c>
      <c r="BC307" s="3" t="s">
        <v>4038</v>
      </c>
      <c r="BD307" s="3" t="s">
        <v>4039</v>
      </c>
    </row>
    <row r="308" spans="1:56" ht="45" customHeight="1" x14ac:dyDescent="0.25">
      <c r="A308" s="8" t="s">
        <v>58</v>
      </c>
      <c r="B308" s="2" t="s">
        <v>4040</v>
      </c>
      <c r="C308" s="2" t="s">
        <v>4041</v>
      </c>
      <c r="D308" s="2" t="s">
        <v>4042</v>
      </c>
      <c r="F308" s="3" t="s">
        <v>58</v>
      </c>
      <c r="G308" s="3" t="s">
        <v>59</v>
      </c>
      <c r="H308" s="3" t="s">
        <v>58</v>
      </c>
      <c r="I308" s="3" t="s">
        <v>68</v>
      </c>
      <c r="J308" s="3" t="s">
        <v>60</v>
      </c>
      <c r="L308" s="2" t="s">
        <v>3265</v>
      </c>
      <c r="M308" s="3" t="s">
        <v>1181</v>
      </c>
      <c r="O308" s="3" t="s">
        <v>64</v>
      </c>
      <c r="P308" s="3" t="s">
        <v>250</v>
      </c>
      <c r="R308" s="3" t="s">
        <v>66</v>
      </c>
      <c r="S308" s="4">
        <v>70</v>
      </c>
      <c r="T308" s="4">
        <v>70</v>
      </c>
      <c r="U308" s="5" t="s">
        <v>4043</v>
      </c>
      <c r="V308" s="5" t="s">
        <v>4043</v>
      </c>
      <c r="W308" s="5" t="s">
        <v>4044</v>
      </c>
      <c r="X308" s="5" t="s">
        <v>4044</v>
      </c>
      <c r="Y308" s="4">
        <v>248</v>
      </c>
      <c r="Z308" s="4">
        <v>188</v>
      </c>
      <c r="AA308" s="4">
        <v>1422</v>
      </c>
      <c r="AB308" s="4">
        <v>2</v>
      </c>
      <c r="AC308" s="4">
        <v>43</v>
      </c>
      <c r="AD308" s="4">
        <v>5</v>
      </c>
      <c r="AE308" s="4">
        <v>39</v>
      </c>
      <c r="AF308" s="4">
        <v>0</v>
      </c>
      <c r="AG308" s="4">
        <v>15</v>
      </c>
      <c r="AH308" s="4">
        <v>1</v>
      </c>
      <c r="AI308" s="4">
        <v>8</v>
      </c>
      <c r="AJ308" s="4">
        <v>3</v>
      </c>
      <c r="AK308" s="4">
        <v>13</v>
      </c>
      <c r="AL308" s="4">
        <v>1</v>
      </c>
      <c r="AM308" s="4">
        <v>11</v>
      </c>
      <c r="AN308" s="4">
        <v>0</v>
      </c>
      <c r="AO308" s="4">
        <v>0</v>
      </c>
      <c r="AP308" s="3" t="s">
        <v>58</v>
      </c>
      <c r="AQ308" s="3" t="s">
        <v>68</v>
      </c>
      <c r="AR308" s="6" t="str">
        <f>HYPERLINK("http://catalog.hathitrust.org/Record/002809725","HathiTrust Record")</f>
        <v>HathiTrust Record</v>
      </c>
      <c r="AS308" s="6" t="str">
        <f>HYPERLINK("https://creighton-primo.hosted.exlibrisgroup.com/primo-explore/search?tab=default_tab&amp;search_scope=EVERYTHING&amp;vid=01CRU&amp;lang=en_US&amp;offset=0&amp;query=any,contains,991005266649702656","Catalog Record")</f>
        <v>Catalog Record</v>
      </c>
      <c r="AT308" s="6" t="str">
        <f>HYPERLINK("http://www.worldcat.org/oclc/24067303","WorldCat Record")</f>
        <v>WorldCat Record</v>
      </c>
      <c r="AU308" s="3" t="s">
        <v>4045</v>
      </c>
      <c r="AV308" s="3" t="s">
        <v>4046</v>
      </c>
      <c r="AW308" s="3" t="s">
        <v>4047</v>
      </c>
      <c r="AX308" s="3" t="s">
        <v>4047</v>
      </c>
      <c r="AY308" s="3" t="s">
        <v>4048</v>
      </c>
      <c r="AZ308" s="3" t="s">
        <v>73</v>
      </c>
      <c r="BC308" s="3" t="s">
        <v>4049</v>
      </c>
      <c r="BD308" s="3" t="s">
        <v>4050</v>
      </c>
    </row>
    <row r="309" spans="1:56" ht="45" customHeight="1" x14ac:dyDescent="0.25">
      <c r="A309" s="8" t="s">
        <v>58</v>
      </c>
      <c r="B309" s="2" t="s">
        <v>4051</v>
      </c>
      <c r="C309" s="2" t="s">
        <v>4052</v>
      </c>
      <c r="D309" s="2" t="s">
        <v>4053</v>
      </c>
      <c r="F309" s="3" t="s">
        <v>58</v>
      </c>
      <c r="G309" s="3" t="s">
        <v>59</v>
      </c>
      <c r="H309" s="3" t="s">
        <v>58</v>
      </c>
      <c r="I309" s="3" t="s">
        <v>58</v>
      </c>
      <c r="J309" s="3" t="s">
        <v>60</v>
      </c>
      <c r="L309" s="2" t="s">
        <v>4054</v>
      </c>
      <c r="M309" s="3" t="s">
        <v>407</v>
      </c>
      <c r="O309" s="3" t="s">
        <v>64</v>
      </c>
      <c r="P309" s="3" t="s">
        <v>114</v>
      </c>
      <c r="Q309" s="2" t="s">
        <v>4055</v>
      </c>
      <c r="R309" s="3" t="s">
        <v>66</v>
      </c>
      <c r="S309" s="4">
        <v>20</v>
      </c>
      <c r="T309" s="4">
        <v>20</v>
      </c>
      <c r="U309" s="5" t="s">
        <v>4056</v>
      </c>
      <c r="V309" s="5" t="s">
        <v>4056</v>
      </c>
      <c r="W309" s="5" t="s">
        <v>2002</v>
      </c>
      <c r="X309" s="5" t="s">
        <v>2002</v>
      </c>
      <c r="Y309" s="4">
        <v>661</v>
      </c>
      <c r="Z309" s="4">
        <v>456</v>
      </c>
      <c r="AA309" s="4">
        <v>497</v>
      </c>
      <c r="AB309" s="4">
        <v>4</v>
      </c>
      <c r="AC309" s="4">
        <v>4</v>
      </c>
      <c r="AD309" s="4">
        <v>21</v>
      </c>
      <c r="AE309" s="4">
        <v>21</v>
      </c>
      <c r="AF309" s="4">
        <v>6</v>
      </c>
      <c r="AG309" s="4">
        <v>6</v>
      </c>
      <c r="AH309" s="4">
        <v>5</v>
      </c>
      <c r="AI309" s="4">
        <v>5</v>
      </c>
      <c r="AJ309" s="4">
        <v>10</v>
      </c>
      <c r="AK309" s="4">
        <v>10</v>
      </c>
      <c r="AL309" s="4">
        <v>3</v>
      </c>
      <c r="AM309" s="4">
        <v>3</v>
      </c>
      <c r="AN309" s="4">
        <v>0</v>
      </c>
      <c r="AO309" s="4">
        <v>0</v>
      </c>
      <c r="AP309" s="3" t="s">
        <v>58</v>
      </c>
      <c r="AQ309" s="3" t="s">
        <v>68</v>
      </c>
      <c r="AR309" s="6" t="str">
        <f>HYPERLINK("http://catalog.hathitrust.org/Record/004415571","HathiTrust Record")</f>
        <v>HathiTrust Record</v>
      </c>
      <c r="AS309" s="6" t="str">
        <f>HYPERLINK("https://creighton-primo.hosted.exlibrisgroup.com/primo-explore/search?tab=default_tab&amp;search_scope=EVERYTHING&amp;vid=01CRU&amp;lang=en_US&amp;offset=0&amp;query=any,contains,991004545599702656","Catalog Record")</f>
        <v>Catalog Record</v>
      </c>
      <c r="AT309" s="6" t="str">
        <f>HYPERLINK("http://www.worldcat.org/oclc/3680115","WorldCat Record")</f>
        <v>WorldCat Record</v>
      </c>
      <c r="AU309" s="3" t="s">
        <v>4057</v>
      </c>
      <c r="AV309" s="3" t="s">
        <v>4058</v>
      </c>
      <c r="AW309" s="3" t="s">
        <v>4059</v>
      </c>
      <c r="AX309" s="3" t="s">
        <v>4059</v>
      </c>
      <c r="AY309" s="3" t="s">
        <v>4060</v>
      </c>
      <c r="AZ309" s="3" t="s">
        <v>73</v>
      </c>
      <c r="BB309" s="3" t="s">
        <v>4061</v>
      </c>
      <c r="BC309" s="3" t="s">
        <v>4062</v>
      </c>
      <c r="BD309" s="3" t="s">
        <v>4063</v>
      </c>
    </row>
    <row r="310" spans="1:56" ht="45" customHeight="1" x14ac:dyDescent="0.25">
      <c r="A310" s="8" t="s">
        <v>58</v>
      </c>
      <c r="B310" s="2" t="s">
        <v>4064</v>
      </c>
      <c r="C310" s="2" t="s">
        <v>4065</v>
      </c>
      <c r="D310" s="2" t="s">
        <v>4066</v>
      </c>
      <c r="F310" s="3" t="s">
        <v>58</v>
      </c>
      <c r="G310" s="3" t="s">
        <v>59</v>
      </c>
      <c r="H310" s="3" t="s">
        <v>68</v>
      </c>
      <c r="I310" s="3" t="s">
        <v>58</v>
      </c>
      <c r="J310" s="3" t="s">
        <v>60</v>
      </c>
      <c r="L310" s="2" t="s">
        <v>4067</v>
      </c>
      <c r="M310" s="3" t="s">
        <v>129</v>
      </c>
      <c r="O310" s="3" t="s">
        <v>64</v>
      </c>
      <c r="P310" s="3" t="s">
        <v>997</v>
      </c>
      <c r="R310" s="3" t="s">
        <v>66</v>
      </c>
      <c r="S310" s="4">
        <v>12</v>
      </c>
      <c r="T310" s="4">
        <v>16</v>
      </c>
      <c r="U310" s="5" t="s">
        <v>4068</v>
      </c>
      <c r="V310" s="5" t="s">
        <v>4069</v>
      </c>
      <c r="W310" s="5" t="s">
        <v>1154</v>
      </c>
      <c r="X310" s="5" t="s">
        <v>1154</v>
      </c>
      <c r="Y310" s="4">
        <v>206</v>
      </c>
      <c r="Z310" s="4">
        <v>126</v>
      </c>
      <c r="AA310" s="4">
        <v>128</v>
      </c>
      <c r="AB310" s="4">
        <v>2</v>
      </c>
      <c r="AC310" s="4">
        <v>2</v>
      </c>
      <c r="AD310" s="4">
        <v>3</v>
      </c>
      <c r="AE310" s="4">
        <v>3</v>
      </c>
      <c r="AF310" s="4">
        <v>1</v>
      </c>
      <c r="AG310" s="4">
        <v>1</v>
      </c>
      <c r="AH310" s="4">
        <v>0</v>
      </c>
      <c r="AI310" s="4">
        <v>0</v>
      </c>
      <c r="AJ310" s="4">
        <v>2</v>
      </c>
      <c r="AK310" s="4">
        <v>2</v>
      </c>
      <c r="AL310" s="4">
        <v>0</v>
      </c>
      <c r="AM310" s="4">
        <v>0</v>
      </c>
      <c r="AN310" s="4">
        <v>0</v>
      </c>
      <c r="AO310" s="4">
        <v>0</v>
      </c>
      <c r="AP310" s="3" t="s">
        <v>58</v>
      </c>
      <c r="AQ310" s="3" t="s">
        <v>68</v>
      </c>
      <c r="AR310" s="6" t="str">
        <f>HYPERLINK("http://catalog.hathitrust.org/Record/000737537","HathiTrust Record")</f>
        <v>HathiTrust Record</v>
      </c>
      <c r="AS310" s="6" t="str">
        <f>HYPERLINK("https://creighton-primo.hosted.exlibrisgroup.com/primo-explore/search?tab=default_tab&amp;search_scope=EVERYTHING&amp;vid=01CRU&amp;lang=en_US&amp;offset=0&amp;query=any,contains,991001772699702656","Catalog Record")</f>
        <v>Catalog Record</v>
      </c>
      <c r="AT310" s="6" t="str">
        <f>HYPERLINK("http://www.worldcat.org/oclc/2358084","WorldCat Record")</f>
        <v>WorldCat Record</v>
      </c>
      <c r="AU310" s="3" t="s">
        <v>4070</v>
      </c>
      <c r="AV310" s="3" t="s">
        <v>4071</v>
      </c>
      <c r="AW310" s="3" t="s">
        <v>4072</v>
      </c>
      <c r="AX310" s="3" t="s">
        <v>4072</v>
      </c>
      <c r="AY310" s="3" t="s">
        <v>4073</v>
      </c>
      <c r="AZ310" s="3" t="s">
        <v>73</v>
      </c>
      <c r="BB310" s="3" t="s">
        <v>4074</v>
      </c>
      <c r="BC310" s="3" t="s">
        <v>4075</v>
      </c>
      <c r="BD310" s="3" t="s">
        <v>4076</v>
      </c>
    </row>
    <row r="311" spans="1:56" ht="45" customHeight="1" x14ac:dyDescent="0.25">
      <c r="A311" s="8" t="s">
        <v>58</v>
      </c>
      <c r="B311" s="2" t="s">
        <v>4077</v>
      </c>
      <c r="C311" s="2" t="s">
        <v>4078</v>
      </c>
      <c r="D311" s="2" t="s">
        <v>4079</v>
      </c>
      <c r="F311" s="3" t="s">
        <v>58</v>
      </c>
      <c r="G311" s="3" t="s">
        <v>59</v>
      </c>
      <c r="H311" s="3" t="s">
        <v>58</v>
      </c>
      <c r="I311" s="3" t="s">
        <v>58</v>
      </c>
      <c r="J311" s="3" t="s">
        <v>60</v>
      </c>
      <c r="K311" s="2" t="s">
        <v>4080</v>
      </c>
      <c r="L311" s="2" t="s">
        <v>4081</v>
      </c>
      <c r="M311" s="3" t="s">
        <v>176</v>
      </c>
      <c r="O311" s="3" t="s">
        <v>64</v>
      </c>
      <c r="P311" s="3" t="s">
        <v>114</v>
      </c>
      <c r="Q311" s="2" t="s">
        <v>4082</v>
      </c>
      <c r="R311" s="3" t="s">
        <v>66</v>
      </c>
      <c r="S311" s="4">
        <v>75</v>
      </c>
      <c r="T311" s="4">
        <v>75</v>
      </c>
      <c r="U311" s="5" t="s">
        <v>4083</v>
      </c>
      <c r="V311" s="5" t="s">
        <v>4083</v>
      </c>
      <c r="W311" s="5" t="s">
        <v>3448</v>
      </c>
      <c r="X311" s="5" t="s">
        <v>3448</v>
      </c>
      <c r="Y311" s="4">
        <v>491</v>
      </c>
      <c r="Z311" s="4">
        <v>269</v>
      </c>
      <c r="AA311" s="4">
        <v>281</v>
      </c>
      <c r="AB311" s="4">
        <v>2</v>
      </c>
      <c r="AC311" s="4">
        <v>2</v>
      </c>
      <c r="AD311" s="4">
        <v>7</v>
      </c>
      <c r="AE311" s="4">
        <v>7</v>
      </c>
      <c r="AF311" s="4">
        <v>2</v>
      </c>
      <c r="AG311" s="4">
        <v>2</v>
      </c>
      <c r="AH311" s="4">
        <v>2</v>
      </c>
      <c r="AI311" s="4">
        <v>2</v>
      </c>
      <c r="AJ311" s="4">
        <v>3</v>
      </c>
      <c r="AK311" s="4">
        <v>3</v>
      </c>
      <c r="AL311" s="4">
        <v>1</v>
      </c>
      <c r="AM311" s="4">
        <v>1</v>
      </c>
      <c r="AN311" s="4">
        <v>0</v>
      </c>
      <c r="AO311" s="4">
        <v>0</v>
      </c>
      <c r="AP311" s="3" t="s">
        <v>58</v>
      </c>
      <c r="AQ311" s="3" t="s">
        <v>58</v>
      </c>
      <c r="AS311" s="6" t="str">
        <f>HYPERLINK("https://creighton-primo.hosted.exlibrisgroup.com/primo-explore/search?tab=default_tab&amp;search_scope=EVERYTHING&amp;vid=01CRU&amp;lang=en_US&amp;offset=0&amp;query=any,contains,991002053399702656","Catalog Record")</f>
        <v>Catalog Record</v>
      </c>
      <c r="AT311" s="6" t="str">
        <f>HYPERLINK("http://www.worldcat.org/oclc/26219576","WorldCat Record")</f>
        <v>WorldCat Record</v>
      </c>
      <c r="AU311" s="3" t="s">
        <v>4084</v>
      </c>
      <c r="AV311" s="3" t="s">
        <v>4085</v>
      </c>
      <c r="AW311" s="3" t="s">
        <v>4086</v>
      </c>
      <c r="AX311" s="3" t="s">
        <v>4086</v>
      </c>
      <c r="AY311" s="3" t="s">
        <v>4087</v>
      </c>
      <c r="AZ311" s="3" t="s">
        <v>73</v>
      </c>
      <c r="BB311" s="3" t="s">
        <v>4088</v>
      </c>
      <c r="BC311" s="3" t="s">
        <v>4089</v>
      </c>
      <c r="BD311" s="3" t="s">
        <v>4090</v>
      </c>
    </row>
    <row r="312" spans="1:56" ht="45" customHeight="1" x14ac:dyDescent="0.25">
      <c r="A312" s="8" t="s">
        <v>58</v>
      </c>
      <c r="B312" s="2" t="s">
        <v>4091</v>
      </c>
      <c r="C312" s="2" t="s">
        <v>4092</v>
      </c>
      <c r="D312" s="2" t="s">
        <v>4093</v>
      </c>
      <c r="F312" s="3" t="s">
        <v>58</v>
      </c>
      <c r="G312" s="3" t="s">
        <v>59</v>
      </c>
      <c r="H312" s="3" t="s">
        <v>58</v>
      </c>
      <c r="I312" s="3" t="s">
        <v>58</v>
      </c>
      <c r="J312" s="3" t="s">
        <v>60</v>
      </c>
      <c r="K312" s="2" t="s">
        <v>3459</v>
      </c>
      <c r="L312" s="2" t="s">
        <v>4094</v>
      </c>
      <c r="M312" s="3" t="s">
        <v>2120</v>
      </c>
      <c r="O312" s="3" t="s">
        <v>64</v>
      </c>
      <c r="P312" s="3" t="s">
        <v>177</v>
      </c>
      <c r="R312" s="3" t="s">
        <v>66</v>
      </c>
      <c r="S312" s="4">
        <v>1</v>
      </c>
      <c r="T312" s="4">
        <v>1</v>
      </c>
      <c r="U312" s="5" t="s">
        <v>4095</v>
      </c>
      <c r="V312" s="5" t="s">
        <v>4095</v>
      </c>
      <c r="W312" s="5" t="s">
        <v>4095</v>
      </c>
      <c r="X312" s="5" t="s">
        <v>4095</v>
      </c>
      <c r="Y312" s="4">
        <v>1521</v>
      </c>
      <c r="Z312" s="4">
        <v>1292</v>
      </c>
      <c r="AA312" s="4">
        <v>1379</v>
      </c>
      <c r="AB312" s="4">
        <v>11</v>
      </c>
      <c r="AC312" s="4">
        <v>11</v>
      </c>
      <c r="AD312" s="4">
        <v>48</v>
      </c>
      <c r="AE312" s="4">
        <v>49</v>
      </c>
      <c r="AF312" s="4">
        <v>18</v>
      </c>
      <c r="AG312" s="4">
        <v>18</v>
      </c>
      <c r="AH312" s="4">
        <v>10</v>
      </c>
      <c r="AI312" s="4">
        <v>11</v>
      </c>
      <c r="AJ312" s="4">
        <v>24</v>
      </c>
      <c r="AK312" s="4">
        <v>25</v>
      </c>
      <c r="AL312" s="4">
        <v>8</v>
      </c>
      <c r="AM312" s="4">
        <v>8</v>
      </c>
      <c r="AN312" s="4">
        <v>0</v>
      </c>
      <c r="AO312" s="4">
        <v>0</v>
      </c>
      <c r="AP312" s="3" t="s">
        <v>58</v>
      </c>
      <c r="AQ312" s="3" t="s">
        <v>68</v>
      </c>
      <c r="AR312" s="6" t="str">
        <f>HYPERLINK("http://catalog.hathitrust.org/Record/001571014","HathiTrust Record")</f>
        <v>HathiTrust Record</v>
      </c>
      <c r="AS312" s="6" t="str">
        <f>HYPERLINK("https://creighton-primo.hosted.exlibrisgroup.com/primo-explore/search?tab=default_tab&amp;search_scope=EVERYTHING&amp;vid=01CRU&amp;lang=en_US&amp;offset=0&amp;query=any,contains,991005265339702656","Catalog Record")</f>
        <v>Catalog Record</v>
      </c>
      <c r="AT312" s="6" t="str">
        <f>HYPERLINK("http://www.worldcat.org/oclc/619444","WorldCat Record")</f>
        <v>WorldCat Record</v>
      </c>
      <c r="AU312" s="3" t="s">
        <v>4096</v>
      </c>
      <c r="AV312" s="3" t="s">
        <v>4097</v>
      </c>
      <c r="AW312" s="3" t="s">
        <v>4098</v>
      </c>
      <c r="AX312" s="3" t="s">
        <v>4098</v>
      </c>
      <c r="AY312" s="3" t="s">
        <v>4099</v>
      </c>
      <c r="AZ312" s="3" t="s">
        <v>73</v>
      </c>
      <c r="BC312" s="3" t="s">
        <v>4100</v>
      </c>
      <c r="BD312" s="3" t="s">
        <v>4101</v>
      </c>
    </row>
    <row r="313" spans="1:56" ht="45" customHeight="1" x14ac:dyDescent="0.25">
      <c r="A313" s="8" t="s">
        <v>58</v>
      </c>
      <c r="B313" s="2" t="s">
        <v>4102</v>
      </c>
      <c r="C313" s="2" t="s">
        <v>4103</v>
      </c>
      <c r="D313" s="2" t="s">
        <v>4104</v>
      </c>
      <c r="F313" s="3" t="s">
        <v>58</v>
      </c>
      <c r="G313" s="3" t="s">
        <v>59</v>
      </c>
      <c r="H313" s="3" t="s">
        <v>58</v>
      </c>
      <c r="I313" s="3" t="s">
        <v>58</v>
      </c>
      <c r="J313" s="3" t="s">
        <v>60</v>
      </c>
      <c r="K313" s="2" t="s">
        <v>4105</v>
      </c>
      <c r="L313" s="2" t="s">
        <v>4106</v>
      </c>
      <c r="M313" s="3" t="s">
        <v>365</v>
      </c>
      <c r="O313" s="3" t="s">
        <v>64</v>
      </c>
      <c r="P313" s="3" t="s">
        <v>4107</v>
      </c>
      <c r="R313" s="3" t="s">
        <v>66</v>
      </c>
      <c r="S313" s="4">
        <v>7</v>
      </c>
      <c r="T313" s="4">
        <v>7</v>
      </c>
      <c r="U313" s="5" t="s">
        <v>4056</v>
      </c>
      <c r="V313" s="5" t="s">
        <v>4056</v>
      </c>
      <c r="W313" s="5" t="s">
        <v>4095</v>
      </c>
      <c r="X313" s="5" t="s">
        <v>4095</v>
      </c>
      <c r="Y313" s="4">
        <v>285</v>
      </c>
      <c r="Z313" s="4">
        <v>217</v>
      </c>
      <c r="AA313" s="4">
        <v>242</v>
      </c>
      <c r="AB313" s="4">
        <v>2</v>
      </c>
      <c r="AC313" s="4">
        <v>2</v>
      </c>
      <c r="AD313" s="4">
        <v>9</v>
      </c>
      <c r="AE313" s="4">
        <v>9</v>
      </c>
      <c r="AF313" s="4">
        <v>2</v>
      </c>
      <c r="AG313" s="4">
        <v>2</v>
      </c>
      <c r="AH313" s="4">
        <v>2</v>
      </c>
      <c r="AI313" s="4">
        <v>2</v>
      </c>
      <c r="AJ313" s="4">
        <v>6</v>
      </c>
      <c r="AK313" s="4">
        <v>6</v>
      </c>
      <c r="AL313" s="4">
        <v>1</v>
      </c>
      <c r="AM313" s="4">
        <v>1</v>
      </c>
      <c r="AN313" s="4">
        <v>0</v>
      </c>
      <c r="AO313" s="4">
        <v>0</v>
      </c>
      <c r="AP313" s="3" t="s">
        <v>58</v>
      </c>
      <c r="AQ313" s="3" t="s">
        <v>68</v>
      </c>
      <c r="AR313" s="6" t="str">
        <f>HYPERLINK("http://catalog.hathitrust.org/Record/000001262","HathiTrust Record")</f>
        <v>HathiTrust Record</v>
      </c>
      <c r="AS313" s="6" t="str">
        <f>HYPERLINK("https://creighton-primo.hosted.exlibrisgroup.com/primo-explore/search?tab=default_tab&amp;search_scope=EVERYTHING&amp;vid=01CRU&amp;lang=en_US&amp;offset=0&amp;query=any,contains,991000557729702656","Catalog Record")</f>
        <v>Catalog Record</v>
      </c>
      <c r="AT313" s="6" t="str">
        <f>HYPERLINK("http://www.worldcat.org/oclc/93352","WorldCat Record")</f>
        <v>WorldCat Record</v>
      </c>
      <c r="AU313" s="3" t="s">
        <v>4108</v>
      </c>
      <c r="AV313" s="3" t="s">
        <v>4109</v>
      </c>
      <c r="AW313" s="3" t="s">
        <v>4110</v>
      </c>
      <c r="AX313" s="3" t="s">
        <v>4110</v>
      </c>
      <c r="AY313" s="3" t="s">
        <v>4111</v>
      </c>
      <c r="AZ313" s="3" t="s">
        <v>73</v>
      </c>
      <c r="BC313" s="3" t="s">
        <v>4112</v>
      </c>
      <c r="BD313" s="3" t="s">
        <v>4113</v>
      </c>
    </row>
    <row r="314" spans="1:56" ht="45" customHeight="1" x14ac:dyDescent="0.25">
      <c r="A314" s="8" t="s">
        <v>58</v>
      </c>
      <c r="B314" s="2" t="s">
        <v>4114</v>
      </c>
      <c r="C314" s="2" t="s">
        <v>4115</v>
      </c>
      <c r="D314" s="2" t="s">
        <v>4116</v>
      </c>
      <c r="F314" s="3" t="s">
        <v>58</v>
      </c>
      <c r="G314" s="3" t="s">
        <v>59</v>
      </c>
      <c r="H314" s="3" t="s">
        <v>68</v>
      </c>
      <c r="I314" s="3" t="s">
        <v>58</v>
      </c>
      <c r="J314" s="3" t="s">
        <v>60</v>
      </c>
      <c r="K314" s="2" t="s">
        <v>4117</v>
      </c>
      <c r="L314" s="2" t="s">
        <v>4118</v>
      </c>
      <c r="M314" s="3" t="s">
        <v>249</v>
      </c>
      <c r="O314" s="3" t="s">
        <v>64</v>
      </c>
      <c r="P314" s="3" t="s">
        <v>147</v>
      </c>
      <c r="R314" s="3" t="s">
        <v>66</v>
      </c>
      <c r="S314" s="4">
        <v>25</v>
      </c>
      <c r="T314" s="4">
        <v>28</v>
      </c>
      <c r="U314" s="5" t="s">
        <v>4119</v>
      </c>
      <c r="V314" s="5" t="s">
        <v>4069</v>
      </c>
      <c r="W314" s="5" t="s">
        <v>4120</v>
      </c>
      <c r="X314" s="5" t="s">
        <v>4120</v>
      </c>
      <c r="Y314" s="4">
        <v>586</v>
      </c>
      <c r="Z314" s="4">
        <v>464</v>
      </c>
      <c r="AA314" s="4">
        <v>466</v>
      </c>
      <c r="AB314" s="4">
        <v>2</v>
      </c>
      <c r="AC314" s="4">
        <v>2</v>
      </c>
      <c r="AD314" s="4">
        <v>14</v>
      </c>
      <c r="AE314" s="4">
        <v>14</v>
      </c>
      <c r="AF314" s="4">
        <v>7</v>
      </c>
      <c r="AG314" s="4">
        <v>7</v>
      </c>
      <c r="AH314" s="4">
        <v>1</v>
      </c>
      <c r="AI314" s="4">
        <v>1</v>
      </c>
      <c r="AJ314" s="4">
        <v>7</v>
      </c>
      <c r="AK314" s="4">
        <v>7</v>
      </c>
      <c r="AL314" s="4">
        <v>1</v>
      </c>
      <c r="AM314" s="4">
        <v>1</v>
      </c>
      <c r="AN314" s="4">
        <v>0</v>
      </c>
      <c r="AO314" s="4">
        <v>0</v>
      </c>
      <c r="AP314" s="3" t="s">
        <v>58</v>
      </c>
      <c r="AQ314" s="3" t="s">
        <v>68</v>
      </c>
      <c r="AR314" s="6" t="str">
        <f>HYPERLINK("http://catalog.hathitrust.org/Record/000687040","HathiTrust Record")</f>
        <v>HathiTrust Record</v>
      </c>
      <c r="AS314" s="6" t="str">
        <f>HYPERLINK("https://creighton-primo.hosted.exlibrisgroup.com/primo-explore/search?tab=default_tab&amp;search_scope=EVERYTHING&amp;vid=01CRU&amp;lang=en_US&amp;offset=0&amp;query=any,contains,991001772779702656","Catalog Record")</f>
        <v>Catalog Record</v>
      </c>
      <c r="AT314" s="6" t="str">
        <f>HYPERLINK("http://www.worldcat.org/oclc/3933172","WorldCat Record")</f>
        <v>WorldCat Record</v>
      </c>
      <c r="AU314" s="3" t="s">
        <v>4121</v>
      </c>
      <c r="AV314" s="3" t="s">
        <v>4122</v>
      </c>
      <c r="AW314" s="3" t="s">
        <v>4123</v>
      </c>
      <c r="AX314" s="3" t="s">
        <v>4123</v>
      </c>
      <c r="AY314" s="3" t="s">
        <v>4124</v>
      </c>
      <c r="AZ314" s="3" t="s">
        <v>73</v>
      </c>
      <c r="BB314" s="3" t="s">
        <v>4125</v>
      </c>
      <c r="BC314" s="3" t="s">
        <v>4126</v>
      </c>
      <c r="BD314" s="3" t="s">
        <v>4127</v>
      </c>
    </row>
    <row r="315" spans="1:56" ht="45" customHeight="1" x14ac:dyDescent="0.25">
      <c r="A315" s="8" t="s">
        <v>58</v>
      </c>
      <c r="B315" s="2" t="s">
        <v>4128</v>
      </c>
      <c r="C315" s="2" t="s">
        <v>4129</v>
      </c>
      <c r="D315" s="2" t="s">
        <v>4130</v>
      </c>
      <c r="F315" s="3" t="s">
        <v>58</v>
      </c>
      <c r="G315" s="3" t="s">
        <v>59</v>
      </c>
      <c r="H315" s="3" t="s">
        <v>68</v>
      </c>
      <c r="I315" s="3" t="s">
        <v>58</v>
      </c>
      <c r="J315" s="3" t="s">
        <v>60</v>
      </c>
      <c r="L315" s="2" t="s">
        <v>4131</v>
      </c>
      <c r="M315" s="3" t="s">
        <v>129</v>
      </c>
      <c r="O315" s="3" t="s">
        <v>64</v>
      </c>
      <c r="P315" s="3" t="s">
        <v>177</v>
      </c>
      <c r="R315" s="3" t="s">
        <v>66</v>
      </c>
      <c r="S315" s="4">
        <v>4</v>
      </c>
      <c r="T315" s="4">
        <v>4</v>
      </c>
      <c r="U315" s="5" t="s">
        <v>4132</v>
      </c>
      <c r="V315" s="5" t="s">
        <v>4132</v>
      </c>
      <c r="W315" s="5" t="s">
        <v>1154</v>
      </c>
      <c r="X315" s="5" t="s">
        <v>1154</v>
      </c>
      <c r="Y315" s="4">
        <v>528</v>
      </c>
      <c r="Z315" s="4">
        <v>427</v>
      </c>
      <c r="AA315" s="4">
        <v>447</v>
      </c>
      <c r="AB315" s="4">
        <v>5</v>
      </c>
      <c r="AC315" s="4">
        <v>5</v>
      </c>
      <c r="AD315" s="4">
        <v>25</v>
      </c>
      <c r="AE315" s="4">
        <v>26</v>
      </c>
      <c r="AF315" s="4">
        <v>11</v>
      </c>
      <c r="AG315" s="4">
        <v>12</v>
      </c>
      <c r="AH315" s="4">
        <v>5</v>
      </c>
      <c r="AI315" s="4">
        <v>5</v>
      </c>
      <c r="AJ315" s="4">
        <v>17</v>
      </c>
      <c r="AK315" s="4">
        <v>17</v>
      </c>
      <c r="AL315" s="4">
        <v>2</v>
      </c>
      <c r="AM315" s="4">
        <v>2</v>
      </c>
      <c r="AN315" s="4">
        <v>0</v>
      </c>
      <c r="AO315" s="4">
        <v>0</v>
      </c>
      <c r="AP315" s="3" t="s">
        <v>58</v>
      </c>
      <c r="AQ315" s="3" t="s">
        <v>68</v>
      </c>
      <c r="AR315" s="6" t="str">
        <f>HYPERLINK("http://catalog.hathitrust.org/Record/000687150","HathiTrust Record")</f>
        <v>HathiTrust Record</v>
      </c>
      <c r="AS315" s="6" t="str">
        <f>HYPERLINK("https://creighton-primo.hosted.exlibrisgroup.com/primo-explore/search?tab=default_tab&amp;search_scope=EVERYTHING&amp;vid=01CRU&amp;lang=en_US&amp;offset=0&amp;query=any,contains,991001772289702656","Catalog Record")</f>
        <v>Catalog Record</v>
      </c>
      <c r="AT315" s="6" t="str">
        <f>HYPERLINK("http://www.worldcat.org/oclc/1976831","WorldCat Record")</f>
        <v>WorldCat Record</v>
      </c>
      <c r="AU315" s="3" t="s">
        <v>4133</v>
      </c>
      <c r="AV315" s="3" t="s">
        <v>4134</v>
      </c>
      <c r="AW315" s="3" t="s">
        <v>4135</v>
      </c>
      <c r="AX315" s="3" t="s">
        <v>4135</v>
      </c>
      <c r="AY315" s="3" t="s">
        <v>4136</v>
      </c>
      <c r="AZ315" s="3" t="s">
        <v>73</v>
      </c>
      <c r="BB315" s="3" t="s">
        <v>4137</v>
      </c>
      <c r="BC315" s="3" t="s">
        <v>4138</v>
      </c>
      <c r="BD315" s="3" t="s">
        <v>4139</v>
      </c>
    </row>
    <row r="316" spans="1:56" ht="45" customHeight="1" x14ac:dyDescent="0.25">
      <c r="A316" s="8" t="s">
        <v>58</v>
      </c>
      <c r="B316" s="2" t="s">
        <v>4140</v>
      </c>
      <c r="C316" s="2" t="s">
        <v>4141</v>
      </c>
      <c r="D316" s="2" t="s">
        <v>4142</v>
      </c>
      <c r="F316" s="3" t="s">
        <v>58</v>
      </c>
      <c r="G316" s="3" t="s">
        <v>59</v>
      </c>
      <c r="H316" s="3" t="s">
        <v>68</v>
      </c>
      <c r="I316" s="3" t="s">
        <v>58</v>
      </c>
      <c r="J316" s="3" t="s">
        <v>60</v>
      </c>
      <c r="L316" s="2" t="s">
        <v>4143</v>
      </c>
      <c r="M316" s="3" t="s">
        <v>494</v>
      </c>
      <c r="O316" s="3" t="s">
        <v>64</v>
      </c>
      <c r="P316" s="3" t="s">
        <v>177</v>
      </c>
      <c r="Q316" s="2" t="s">
        <v>4144</v>
      </c>
      <c r="R316" s="3" t="s">
        <v>66</v>
      </c>
      <c r="S316" s="4">
        <v>20</v>
      </c>
      <c r="T316" s="4">
        <v>28</v>
      </c>
      <c r="U316" s="5" t="s">
        <v>4145</v>
      </c>
      <c r="V316" s="5" t="s">
        <v>4145</v>
      </c>
      <c r="W316" s="5" t="s">
        <v>2002</v>
      </c>
      <c r="X316" s="5" t="s">
        <v>2002</v>
      </c>
      <c r="Y316" s="4">
        <v>427</v>
      </c>
      <c r="Z316" s="4">
        <v>379</v>
      </c>
      <c r="AA316" s="4">
        <v>380</v>
      </c>
      <c r="AB316" s="4">
        <v>4</v>
      </c>
      <c r="AC316" s="4">
        <v>4</v>
      </c>
      <c r="AD316" s="4">
        <v>14</v>
      </c>
      <c r="AE316" s="4">
        <v>14</v>
      </c>
      <c r="AF316" s="4">
        <v>4</v>
      </c>
      <c r="AG316" s="4">
        <v>4</v>
      </c>
      <c r="AH316" s="4">
        <v>2</v>
      </c>
      <c r="AI316" s="4">
        <v>2</v>
      </c>
      <c r="AJ316" s="4">
        <v>8</v>
      </c>
      <c r="AK316" s="4">
        <v>8</v>
      </c>
      <c r="AL316" s="4">
        <v>2</v>
      </c>
      <c r="AM316" s="4">
        <v>2</v>
      </c>
      <c r="AN316" s="4">
        <v>0</v>
      </c>
      <c r="AO316" s="4">
        <v>0</v>
      </c>
      <c r="AP316" s="3" t="s">
        <v>58</v>
      </c>
      <c r="AQ316" s="3" t="s">
        <v>58</v>
      </c>
      <c r="AS316" s="6" t="str">
        <f>HYPERLINK("https://creighton-primo.hosted.exlibrisgroup.com/primo-explore/search?tab=default_tab&amp;search_scope=EVERYTHING&amp;vid=01CRU&amp;lang=en_US&amp;offset=0&amp;query=any,contains,991001772979702656","Catalog Record")</f>
        <v>Catalog Record</v>
      </c>
      <c r="AT316" s="6" t="str">
        <f>HYPERLINK("http://www.worldcat.org/oclc/11726472","WorldCat Record")</f>
        <v>WorldCat Record</v>
      </c>
      <c r="AU316" s="3" t="s">
        <v>4146</v>
      </c>
      <c r="AV316" s="3" t="s">
        <v>4147</v>
      </c>
      <c r="AW316" s="3" t="s">
        <v>4148</v>
      </c>
      <c r="AX316" s="3" t="s">
        <v>4148</v>
      </c>
      <c r="AY316" s="3" t="s">
        <v>4149</v>
      </c>
      <c r="AZ316" s="3" t="s">
        <v>73</v>
      </c>
      <c r="BB316" s="3" t="s">
        <v>4150</v>
      </c>
      <c r="BC316" s="3" t="s">
        <v>4151</v>
      </c>
      <c r="BD316" s="3" t="s">
        <v>4152</v>
      </c>
    </row>
    <row r="317" spans="1:56" ht="45" customHeight="1" x14ac:dyDescent="0.25">
      <c r="A317" s="8" t="s">
        <v>58</v>
      </c>
      <c r="B317" s="2" t="s">
        <v>4153</v>
      </c>
      <c r="C317" s="2" t="s">
        <v>4154</v>
      </c>
      <c r="D317" s="2" t="s">
        <v>4155</v>
      </c>
      <c r="F317" s="3" t="s">
        <v>58</v>
      </c>
      <c r="G317" s="3" t="s">
        <v>59</v>
      </c>
      <c r="H317" s="3" t="s">
        <v>58</v>
      </c>
      <c r="I317" s="3" t="s">
        <v>58</v>
      </c>
      <c r="J317" s="3" t="s">
        <v>60</v>
      </c>
      <c r="K317" s="2" t="s">
        <v>4156</v>
      </c>
      <c r="L317" s="2" t="s">
        <v>4157</v>
      </c>
      <c r="M317" s="3" t="s">
        <v>2120</v>
      </c>
      <c r="O317" s="3" t="s">
        <v>64</v>
      </c>
      <c r="P317" s="3" t="s">
        <v>250</v>
      </c>
      <c r="Q317" s="2" t="s">
        <v>4158</v>
      </c>
      <c r="R317" s="3" t="s">
        <v>66</v>
      </c>
      <c r="S317" s="4">
        <v>4</v>
      </c>
      <c r="T317" s="4">
        <v>4</v>
      </c>
      <c r="U317" s="5" t="s">
        <v>4159</v>
      </c>
      <c r="V317" s="5" t="s">
        <v>4159</v>
      </c>
      <c r="W317" s="5" t="s">
        <v>4095</v>
      </c>
      <c r="X317" s="5" t="s">
        <v>4095</v>
      </c>
      <c r="Y317" s="4">
        <v>403</v>
      </c>
      <c r="Z317" s="4">
        <v>300</v>
      </c>
      <c r="AA317" s="4">
        <v>302</v>
      </c>
      <c r="AB317" s="4">
        <v>5</v>
      </c>
      <c r="AC317" s="4">
        <v>5</v>
      </c>
      <c r="AD317" s="4">
        <v>18</v>
      </c>
      <c r="AE317" s="4">
        <v>18</v>
      </c>
      <c r="AF317" s="4">
        <v>3</v>
      </c>
      <c r="AG317" s="4">
        <v>3</v>
      </c>
      <c r="AH317" s="4">
        <v>6</v>
      </c>
      <c r="AI317" s="4">
        <v>6</v>
      </c>
      <c r="AJ317" s="4">
        <v>9</v>
      </c>
      <c r="AK317" s="4">
        <v>9</v>
      </c>
      <c r="AL317" s="4">
        <v>4</v>
      </c>
      <c r="AM317" s="4">
        <v>4</v>
      </c>
      <c r="AN317" s="4">
        <v>0</v>
      </c>
      <c r="AO317" s="4">
        <v>0</v>
      </c>
      <c r="AP317" s="3" t="s">
        <v>58</v>
      </c>
      <c r="AQ317" s="3" t="s">
        <v>68</v>
      </c>
      <c r="AR317" s="6" t="str">
        <f>HYPERLINK("http://catalog.hathitrust.org/Record/001571015","HathiTrust Record")</f>
        <v>HathiTrust Record</v>
      </c>
      <c r="AS317" s="6" t="str">
        <f>HYPERLINK("https://creighton-primo.hosted.exlibrisgroup.com/primo-explore/search?tab=default_tab&amp;search_scope=EVERYTHING&amp;vid=01CRU&amp;lang=en_US&amp;offset=0&amp;query=any,contains,991003041769702656","Catalog Record")</f>
        <v>Catalog Record</v>
      </c>
      <c r="AT317" s="6" t="str">
        <f>HYPERLINK("http://www.worldcat.org/oclc/602986","WorldCat Record")</f>
        <v>WorldCat Record</v>
      </c>
      <c r="AU317" s="3" t="s">
        <v>4160</v>
      </c>
      <c r="AV317" s="3" t="s">
        <v>4161</v>
      </c>
      <c r="AW317" s="3" t="s">
        <v>4162</v>
      </c>
      <c r="AX317" s="3" t="s">
        <v>4162</v>
      </c>
      <c r="AY317" s="3" t="s">
        <v>4163</v>
      </c>
      <c r="AZ317" s="3" t="s">
        <v>73</v>
      </c>
      <c r="BC317" s="3" t="s">
        <v>4164</v>
      </c>
      <c r="BD317" s="3" t="s">
        <v>4165</v>
      </c>
    </row>
    <row r="318" spans="1:56" ht="45" customHeight="1" x14ac:dyDescent="0.25">
      <c r="A318" s="8" t="s">
        <v>58</v>
      </c>
      <c r="B318" s="2" t="s">
        <v>4166</v>
      </c>
      <c r="C318" s="2" t="s">
        <v>4167</v>
      </c>
      <c r="D318" s="2" t="s">
        <v>4168</v>
      </c>
      <c r="F318" s="3" t="s">
        <v>58</v>
      </c>
      <c r="G318" s="3" t="s">
        <v>59</v>
      </c>
      <c r="H318" s="3" t="s">
        <v>58</v>
      </c>
      <c r="I318" s="3" t="s">
        <v>58</v>
      </c>
      <c r="J318" s="3" t="s">
        <v>60</v>
      </c>
      <c r="K318" s="2" t="s">
        <v>4169</v>
      </c>
      <c r="L318" s="2" t="s">
        <v>4170</v>
      </c>
      <c r="M318" s="3" t="s">
        <v>494</v>
      </c>
      <c r="O318" s="3" t="s">
        <v>64</v>
      </c>
      <c r="P318" s="3" t="s">
        <v>177</v>
      </c>
      <c r="R318" s="3" t="s">
        <v>66</v>
      </c>
      <c r="S318" s="4">
        <v>20</v>
      </c>
      <c r="T318" s="4">
        <v>20</v>
      </c>
      <c r="U318" s="5" t="s">
        <v>4171</v>
      </c>
      <c r="V318" s="5" t="s">
        <v>4171</v>
      </c>
      <c r="W318" s="5" t="s">
        <v>4008</v>
      </c>
      <c r="X318" s="5" t="s">
        <v>4008</v>
      </c>
      <c r="Y318" s="4">
        <v>186</v>
      </c>
      <c r="Z318" s="4">
        <v>153</v>
      </c>
      <c r="AA318" s="4">
        <v>357</v>
      </c>
      <c r="AB318" s="4">
        <v>3</v>
      </c>
      <c r="AC318" s="4">
        <v>3</v>
      </c>
      <c r="AD318" s="4">
        <v>4</v>
      </c>
      <c r="AE318" s="4">
        <v>18</v>
      </c>
      <c r="AF318" s="4">
        <v>0</v>
      </c>
      <c r="AG318" s="4">
        <v>6</v>
      </c>
      <c r="AH318" s="4">
        <v>1</v>
      </c>
      <c r="AI318" s="4">
        <v>6</v>
      </c>
      <c r="AJ318" s="4">
        <v>2</v>
      </c>
      <c r="AK318" s="4">
        <v>9</v>
      </c>
      <c r="AL318" s="4">
        <v>2</v>
      </c>
      <c r="AM318" s="4">
        <v>2</v>
      </c>
      <c r="AN318" s="4">
        <v>0</v>
      </c>
      <c r="AO318" s="4">
        <v>0</v>
      </c>
      <c r="AP318" s="3" t="s">
        <v>58</v>
      </c>
      <c r="AQ318" s="3" t="s">
        <v>58</v>
      </c>
      <c r="AS318" s="6" t="str">
        <f>HYPERLINK("https://creighton-primo.hosted.exlibrisgroup.com/primo-explore/search?tab=default_tab&amp;search_scope=EVERYTHING&amp;vid=01CRU&amp;lang=en_US&amp;offset=0&amp;query=any,contains,991000546999702656","Catalog Record")</f>
        <v>Catalog Record</v>
      </c>
      <c r="AT318" s="6" t="str">
        <f>HYPERLINK("http://www.worldcat.org/oclc/11518907","WorldCat Record")</f>
        <v>WorldCat Record</v>
      </c>
      <c r="AU318" s="3" t="s">
        <v>4172</v>
      </c>
      <c r="AV318" s="3" t="s">
        <v>4173</v>
      </c>
      <c r="AW318" s="3" t="s">
        <v>4174</v>
      </c>
      <c r="AX318" s="3" t="s">
        <v>4174</v>
      </c>
      <c r="AY318" s="3" t="s">
        <v>4175</v>
      </c>
      <c r="AZ318" s="3" t="s">
        <v>73</v>
      </c>
      <c r="BB318" s="3" t="s">
        <v>4176</v>
      </c>
      <c r="BC318" s="3" t="s">
        <v>4177</v>
      </c>
      <c r="BD318" s="3" t="s">
        <v>4178</v>
      </c>
    </row>
    <row r="319" spans="1:56" ht="45" customHeight="1" x14ac:dyDescent="0.25">
      <c r="A319" s="8" t="s">
        <v>58</v>
      </c>
      <c r="B319" s="2" t="s">
        <v>4179</v>
      </c>
      <c r="C319" s="2" t="s">
        <v>4180</v>
      </c>
      <c r="D319" s="2" t="s">
        <v>4181</v>
      </c>
      <c r="F319" s="3" t="s">
        <v>58</v>
      </c>
      <c r="G319" s="3" t="s">
        <v>59</v>
      </c>
      <c r="H319" s="3" t="s">
        <v>58</v>
      </c>
      <c r="I319" s="3" t="s">
        <v>58</v>
      </c>
      <c r="J319" s="3" t="s">
        <v>60</v>
      </c>
      <c r="K319" s="2" t="s">
        <v>4182</v>
      </c>
      <c r="L319" s="2" t="s">
        <v>4183</v>
      </c>
      <c r="M319" s="3" t="s">
        <v>98</v>
      </c>
      <c r="O319" s="3" t="s">
        <v>64</v>
      </c>
      <c r="P319" s="3" t="s">
        <v>99</v>
      </c>
      <c r="R319" s="3" t="s">
        <v>66</v>
      </c>
      <c r="S319" s="4">
        <v>4</v>
      </c>
      <c r="T319" s="4">
        <v>4</v>
      </c>
      <c r="U319" s="5" t="s">
        <v>4184</v>
      </c>
      <c r="V319" s="5" t="s">
        <v>4184</v>
      </c>
      <c r="W319" s="5" t="s">
        <v>4185</v>
      </c>
      <c r="X319" s="5" t="s">
        <v>4185</v>
      </c>
      <c r="Y319" s="4">
        <v>350</v>
      </c>
      <c r="Z319" s="4">
        <v>287</v>
      </c>
      <c r="AA319" s="4">
        <v>294</v>
      </c>
      <c r="AB319" s="4">
        <v>4</v>
      </c>
      <c r="AC319" s="4">
        <v>4</v>
      </c>
      <c r="AD319" s="4">
        <v>14</v>
      </c>
      <c r="AE319" s="4">
        <v>14</v>
      </c>
      <c r="AF319" s="4">
        <v>4</v>
      </c>
      <c r="AG319" s="4">
        <v>4</v>
      </c>
      <c r="AH319" s="4">
        <v>4</v>
      </c>
      <c r="AI319" s="4">
        <v>4</v>
      </c>
      <c r="AJ319" s="4">
        <v>7</v>
      </c>
      <c r="AK319" s="4">
        <v>7</v>
      </c>
      <c r="AL319" s="4">
        <v>3</v>
      </c>
      <c r="AM319" s="4">
        <v>3</v>
      </c>
      <c r="AN319" s="4">
        <v>0</v>
      </c>
      <c r="AO319" s="4">
        <v>0</v>
      </c>
      <c r="AP319" s="3" t="s">
        <v>58</v>
      </c>
      <c r="AQ319" s="3" t="s">
        <v>68</v>
      </c>
      <c r="AR319" s="6" t="str">
        <f>HYPERLINK("http://catalog.hathitrust.org/Record/001571016","HathiTrust Record")</f>
        <v>HathiTrust Record</v>
      </c>
      <c r="AS319" s="6" t="str">
        <f>HYPERLINK("https://creighton-primo.hosted.exlibrisgroup.com/primo-explore/search?tab=default_tab&amp;search_scope=EVERYTHING&amp;vid=01CRU&amp;lang=en_US&amp;offset=0&amp;query=any,contains,991000741129702656","Catalog Record")</f>
        <v>Catalog Record</v>
      </c>
      <c r="AT319" s="6" t="str">
        <f>HYPERLINK("http://www.worldcat.org/oclc/129416","WorldCat Record")</f>
        <v>WorldCat Record</v>
      </c>
      <c r="AU319" s="3" t="s">
        <v>4186</v>
      </c>
      <c r="AV319" s="3" t="s">
        <v>4187</v>
      </c>
      <c r="AW319" s="3" t="s">
        <v>4188</v>
      </c>
      <c r="AX319" s="3" t="s">
        <v>4188</v>
      </c>
      <c r="AY319" s="3" t="s">
        <v>4189</v>
      </c>
      <c r="AZ319" s="3" t="s">
        <v>73</v>
      </c>
      <c r="BC319" s="3" t="s">
        <v>4190</v>
      </c>
      <c r="BD319" s="3" t="s">
        <v>4191</v>
      </c>
    </row>
    <row r="320" spans="1:56" ht="45" customHeight="1" x14ac:dyDescent="0.25">
      <c r="A320" s="8" t="s">
        <v>58</v>
      </c>
      <c r="B320" s="2" t="s">
        <v>4192</v>
      </c>
      <c r="C320" s="2" t="s">
        <v>4193</v>
      </c>
      <c r="D320" s="2" t="s">
        <v>4194</v>
      </c>
      <c r="F320" s="3" t="s">
        <v>58</v>
      </c>
      <c r="G320" s="3" t="s">
        <v>59</v>
      </c>
      <c r="H320" s="3" t="s">
        <v>58</v>
      </c>
      <c r="I320" s="3" t="s">
        <v>58</v>
      </c>
      <c r="J320" s="3" t="s">
        <v>60</v>
      </c>
      <c r="L320" s="2" t="s">
        <v>4195</v>
      </c>
      <c r="M320" s="3" t="s">
        <v>291</v>
      </c>
      <c r="N320" s="2" t="s">
        <v>4196</v>
      </c>
      <c r="O320" s="3" t="s">
        <v>64</v>
      </c>
      <c r="P320" s="3" t="s">
        <v>147</v>
      </c>
      <c r="R320" s="3" t="s">
        <v>66</v>
      </c>
      <c r="S320" s="4">
        <v>23</v>
      </c>
      <c r="T320" s="4">
        <v>23</v>
      </c>
      <c r="U320" s="5" t="s">
        <v>1744</v>
      </c>
      <c r="V320" s="5" t="s">
        <v>1744</v>
      </c>
      <c r="W320" s="5" t="s">
        <v>4197</v>
      </c>
      <c r="X320" s="5" t="s">
        <v>4197</v>
      </c>
      <c r="Y320" s="4">
        <v>91</v>
      </c>
      <c r="Z320" s="4">
        <v>91</v>
      </c>
      <c r="AA320" s="4">
        <v>208</v>
      </c>
      <c r="AB320" s="4">
        <v>1</v>
      </c>
      <c r="AC320" s="4">
        <v>3</v>
      </c>
      <c r="AD320" s="4">
        <v>2</v>
      </c>
      <c r="AE320" s="4">
        <v>5</v>
      </c>
      <c r="AF320" s="4">
        <v>0</v>
      </c>
      <c r="AG320" s="4">
        <v>1</v>
      </c>
      <c r="AH320" s="4">
        <v>1</v>
      </c>
      <c r="AI320" s="4">
        <v>1</v>
      </c>
      <c r="AJ320" s="4">
        <v>2</v>
      </c>
      <c r="AK320" s="4">
        <v>2</v>
      </c>
      <c r="AL320" s="4">
        <v>0</v>
      </c>
      <c r="AM320" s="4">
        <v>2</v>
      </c>
      <c r="AN320" s="4">
        <v>0</v>
      </c>
      <c r="AO320" s="4">
        <v>0</v>
      </c>
      <c r="AP320" s="3" t="s">
        <v>68</v>
      </c>
      <c r="AQ320" s="3" t="s">
        <v>58</v>
      </c>
      <c r="AR320" s="6" t="str">
        <f>HYPERLINK("http://catalog.hathitrust.org/Record/102490270","HathiTrust Record")</f>
        <v>HathiTrust Record</v>
      </c>
      <c r="AS320" s="6" t="str">
        <f>HYPERLINK("https://creighton-primo.hosted.exlibrisgroup.com/primo-explore/search?tab=default_tab&amp;search_scope=EVERYTHING&amp;vid=01CRU&amp;lang=en_US&amp;offset=0&amp;query=any,contains,991000057989702656","Catalog Record")</f>
        <v>Catalog Record</v>
      </c>
      <c r="AT320" s="6" t="str">
        <f>HYPERLINK("http://www.worldcat.org/oclc/8712629","WorldCat Record")</f>
        <v>WorldCat Record</v>
      </c>
      <c r="AU320" s="3" t="s">
        <v>4198</v>
      </c>
      <c r="AV320" s="3" t="s">
        <v>4199</v>
      </c>
      <c r="AW320" s="3" t="s">
        <v>4200</v>
      </c>
      <c r="AX320" s="3" t="s">
        <v>4200</v>
      </c>
      <c r="AY320" s="3" t="s">
        <v>4201</v>
      </c>
      <c r="AZ320" s="3" t="s">
        <v>73</v>
      </c>
      <c r="BC320" s="3" t="s">
        <v>4202</v>
      </c>
      <c r="BD320" s="3" t="s">
        <v>4203</v>
      </c>
    </row>
    <row r="321" spans="1:56" ht="45" customHeight="1" x14ac:dyDescent="0.25">
      <c r="A321" s="8" t="s">
        <v>58</v>
      </c>
      <c r="B321" s="2" t="s">
        <v>4204</v>
      </c>
      <c r="C321" s="2" t="s">
        <v>4205</v>
      </c>
      <c r="D321" s="2" t="s">
        <v>4206</v>
      </c>
      <c r="F321" s="3" t="s">
        <v>58</v>
      </c>
      <c r="G321" s="3" t="s">
        <v>59</v>
      </c>
      <c r="H321" s="3" t="s">
        <v>58</v>
      </c>
      <c r="I321" s="3" t="s">
        <v>58</v>
      </c>
      <c r="J321" s="3" t="s">
        <v>60</v>
      </c>
      <c r="K321" s="2" t="s">
        <v>4207</v>
      </c>
      <c r="L321" s="2" t="s">
        <v>4208</v>
      </c>
      <c r="M321" s="3" t="s">
        <v>365</v>
      </c>
      <c r="N321" s="2" t="s">
        <v>791</v>
      </c>
      <c r="O321" s="3" t="s">
        <v>64</v>
      </c>
      <c r="P321" s="3" t="s">
        <v>177</v>
      </c>
      <c r="R321" s="3" t="s">
        <v>66</v>
      </c>
      <c r="S321" s="4">
        <v>5</v>
      </c>
      <c r="T321" s="4">
        <v>5</v>
      </c>
      <c r="U321" s="5" t="s">
        <v>3820</v>
      </c>
      <c r="V321" s="5" t="s">
        <v>3820</v>
      </c>
      <c r="W321" s="5" t="s">
        <v>4209</v>
      </c>
      <c r="X321" s="5" t="s">
        <v>4209</v>
      </c>
      <c r="Y321" s="4">
        <v>785</v>
      </c>
      <c r="Z321" s="4">
        <v>731</v>
      </c>
      <c r="AA321" s="4">
        <v>978</v>
      </c>
      <c r="AB321" s="4">
        <v>12</v>
      </c>
      <c r="AC321" s="4">
        <v>14</v>
      </c>
      <c r="AD321" s="4">
        <v>22</v>
      </c>
      <c r="AE321" s="4">
        <v>29</v>
      </c>
      <c r="AF321" s="4">
        <v>10</v>
      </c>
      <c r="AG321" s="4">
        <v>12</v>
      </c>
      <c r="AH321" s="4">
        <v>2</v>
      </c>
      <c r="AI321" s="4">
        <v>4</v>
      </c>
      <c r="AJ321" s="4">
        <v>10</v>
      </c>
      <c r="AK321" s="4">
        <v>13</v>
      </c>
      <c r="AL321" s="4">
        <v>5</v>
      </c>
      <c r="AM321" s="4">
        <v>6</v>
      </c>
      <c r="AN321" s="4">
        <v>0</v>
      </c>
      <c r="AO321" s="4">
        <v>0</v>
      </c>
      <c r="AP321" s="3" t="s">
        <v>58</v>
      </c>
      <c r="AQ321" s="3" t="s">
        <v>68</v>
      </c>
      <c r="AR321" s="6" t="str">
        <f>HYPERLINK("http://catalog.hathitrust.org/Record/001578996","HathiTrust Record")</f>
        <v>HathiTrust Record</v>
      </c>
      <c r="AS321" s="6" t="str">
        <f>HYPERLINK("https://creighton-primo.hosted.exlibrisgroup.com/primo-explore/search?tab=default_tab&amp;search_scope=EVERYTHING&amp;vid=01CRU&amp;lang=en_US&amp;offset=0&amp;query=any,contains,991000569089702656","Catalog Record")</f>
        <v>Catalog Record</v>
      </c>
      <c r="AT321" s="6" t="str">
        <f>HYPERLINK("http://www.worldcat.org/oclc/94607","WorldCat Record")</f>
        <v>WorldCat Record</v>
      </c>
      <c r="AU321" s="3" t="s">
        <v>4210</v>
      </c>
      <c r="AV321" s="3" t="s">
        <v>4211</v>
      </c>
      <c r="AW321" s="3" t="s">
        <v>4212</v>
      </c>
      <c r="AX321" s="3" t="s">
        <v>4212</v>
      </c>
      <c r="AY321" s="3" t="s">
        <v>4213</v>
      </c>
      <c r="AZ321" s="3" t="s">
        <v>73</v>
      </c>
      <c r="BC321" s="3" t="s">
        <v>4214</v>
      </c>
      <c r="BD321" s="3" t="s">
        <v>4215</v>
      </c>
    </row>
    <row r="322" spans="1:56" ht="45" customHeight="1" x14ac:dyDescent="0.25">
      <c r="A322" s="8" t="s">
        <v>58</v>
      </c>
      <c r="B322" s="2" t="s">
        <v>4216</v>
      </c>
      <c r="C322" s="2" t="s">
        <v>4217</v>
      </c>
      <c r="D322" s="2" t="s">
        <v>4218</v>
      </c>
      <c r="F322" s="3" t="s">
        <v>58</v>
      </c>
      <c r="G322" s="3" t="s">
        <v>59</v>
      </c>
      <c r="H322" s="3" t="s">
        <v>58</v>
      </c>
      <c r="I322" s="3" t="s">
        <v>58</v>
      </c>
      <c r="J322" s="3" t="s">
        <v>60</v>
      </c>
      <c r="K322" s="2" t="s">
        <v>4219</v>
      </c>
      <c r="L322" s="2" t="s">
        <v>4220</v>
      </c>
      <c r="M322" s="3" t="s">
        <v>2208</v>
      </c>
      <c r="O322" s="3" t="s">
        <v>64</v>
      </c>
      <c r="P322" s="3" t="s">
        <v>99</v>
      </c>
      <c r="Q322" s="2" t="s">
        <v>4221</v>
      </c>
      <c r="R322" s="3" t="s">
        <v>66</v>
      </c>
      <c r="S322" s="4">
        <v>3</v>
      </c>
      <c r="T322" s="4">
        <v>3</v>
      </c>
      <c r="U322" s="5" t="s">
        <v>4056</v>
      </c>
      <c r="V322" s="5" t="s">
        <v>4056</v>
      </c>
      <c r="W322" s="5" t="s">
        <v>236</v>
      </c>
      <c r="X322" s="5" t="s">
        <v>236</v>
      </c>
      <c r="Y322" s="4">
        <v>497</v>
      </c>
      <c r="Z322" s="4">
        <v>413</v>
      </c>
      <c r="AA322" s="4">
        <v>420</v>
      </c>
      <c r="AB322" s="4">
        <v>3</v>
      </c>
      <c r="AC322" s="4">
        <v>3</v>
      </c>
      <c r="AD322" s="4">
        <v>19</v>
      </c>
      <c r="AE322" s="4">
        <v>19</v>
      </c>
      <c r="AF322" s="4">
        <v>6</v>
      </c>
      <c r="AG322" s="4">
        <v>6</v>
      </c>
      <c r="AH322" s="4">
        <v>6</v>
      </c>
      <c r="AI322" s="4">
        <v>6</v>
      </c>
      <c r="AJ322" s="4">
        <v>10</v>
      </c>
      <c r="AK322" s="4">
        <v>10</v>
      </c>
      <c r="AL322" s="4">
        <v>2</v>
      </c>
      <c r="AM322" s="4">
        <v>2</v>
      </c>
      <c r="AN322" s="4">
        <v>0</v>
      </c>
      <c r="AO322" s="4">
        <v>0</v>
      </c>
      <c r="AP322" s="3" t="s">
        <v>58</v>
      </c>
      <c r="AQ322" s="3" t="s">
        <v>68</v>
      </c>
      <c r="AR322" s="6" t="str">
        <f>HYPERLINK("http://catalog.hathitrust.org/Record/001571018","HathiTrust Record")</f>
        <v>HathiTrust Record</v>
      </c>
      <c r="AS322" s="6" t="str">
        <f>HYPERLINK("https://creighton-primo.hosted.exlibrisgroup.com/primo-explore/search?tab=default_tab&amp;search_scope=EVERYTHING&amp;vid=01CRU&amp;lang=en_US&amp;offset=0&amp;query=any,contains,991005434939702656","Catalog Record")</f>
        <v>Catalog Record</v>
      </c>
      <c r="AT322" s="6" t="str">
        <f>HYPERLINK("http://www.worldcat.org/oclc/2685","WorldCat Record")</f>
        <v>WorldCat Record</v>
      </c>
      <c r="AU322" s="3" t="s">
        <v>4222</v>
      </c>
      <c r="AV322" s="3" t="s">
        <v>4223</v>
      </c>
      <c r="AW322" s="3" t="s">
        <v>4224</v>
      </c>
      <c r="AX322" s="3" t="s">
        <v>4224</v>
      </c>
      <c r="AY322" s="3" t="s">
        <v>4225</v>
      </c>
      <c r="AZ322" s="3" t="s">
        <v>73</v>
      </c>
      <c r="BC322" s="3" t="s">
        <v>4226</v>
      </c>
      <c r="BD322" s="3" t="s">
        <v>4227</v>
      </c>
    </row>
    <row r="323" spans="1:56" ht="45" customHeight="1" x14ac:dyDescent="0.25">
      <c r="A323" s="8" t="s">
        <v>58</v>
      </c>
      <c r="B323" s="2" t="s">
        <v>4228</v>
      </c>
      <c r="C323" s="2" t="s">
        <v>4229</v>
      </c>
      <c r="D323" s="2" t="s">
        <v>4230</v>
      </c>
      <c r="F323" s="3" t="s">
        <v>58</v>
      </c>
      <c r="G323" s="3" t="s">
        <v>59</v>
      </c>
      <c r="H323" s="3" t="s">
        <v>58</v>
      </c>
      <c r="I323" s="3" t="s">
        <v>58</v>
      </c>
      <c r="J323" s="3" t="s">
        <v>60</v>
      </c>
      <c r="L323" s="2" t="s">
        <v>4231</v>
      </c>
      <c r="M323" s="3" t="s">
        <v>291</v>
      </c>
      <c r="O323" s="3" t="s">
        <v>64</v>
      </c>
      <c r="P323" s="3" t="s">
        <v>2053</v>
      </c>
      <c r="R323" s="3" t="s">
        <v>66</v>
      </c>
      <c r="S323" s="4">
        <v>17</v>
      </c>
      <c r="T323" s="4">
        <v>17</v>
      </c>
      <c r="U323" s="5" t="s">
        <v>2863</v>
      </c>
      <c r="V323" s="5" t="s">
        <v>2863</v>
      </c>
      <c r="W323" s="5" t="s">
        <v>2002</v>
      </c>
      <c r="X323" s="5" t="s">
        <v>2002</v>
      </c>
      <c r="Y323" s="4">
        <v>527</v>
      </c>
      <c r="Z323" s="4">
        <v>417</v>
      </c>
      <c r="AA323" s="4">
        <v>423</v>
      </c>
      <c r="AB323" s="4">
        <v>3</v>
      </c>
      <c r="AC323" s="4">
        <v>3</v>
      </c>
      <c r="AD323" s="4">
        <v>16</v>
      </c>
      <c r="AE323" s="4">
        <v>16</v>
      </c>
      <c r="AF323" s="4">
        <v>8</v>
      </c>
      <c r="AG323" s="4">
        <v>8</v>
      </c>
      <c r="AH323" s="4">
        <v>2</v>
      </c>
      <c r="AI323" s="4">
        <v>2</v>
      </c>
      <c r="AJ323" s="4">
        <v>7</v>
      </c>
      <c r="AK323" s="4">
        <v>7</v>
      </c>
      <c r="AL323" s="4">
        <v>2</v>
      </c>
      <c r="AM323" s="4">
        <v>2</v>
      </c>
      <c r="AN323" s="4">
        <v>0</v>
      </c>
      <c r="AO323" s="4">
        <v>0</v>
      </c>
      <c r="AP323" s="3" t="s">
        <v>58</v>
      </c>
      <c r="AQ323" s="3" t="s">
        <v>58</v>
      </c>
      <c r="AS323" s="6" t="str">
        <f>HYPERLINK("https://creighton-primo.hosted.exlibrisgroup.com/primo-explore/search?tab=default_tab&amp;search_scope=EVERYTHING&amp;vid=01CRU&amp;lang=en_US&amp;offset=0&amp;query=any,contains,991005147619702656","Catalog Record")</f>
        <v>Catalog Record</v>
      </c>
      <c r="AT323" s="6" t="str">
        <f>HYPERLINK("http://www.worldcat.org/oclc/7672422","WorldCat Record")</f>
        <v>WorldCat Record</v>
      </c>
      <c r="AU323" s="3" t="s">
        <v>4232</v>
      </c>
      <c r="AV323" s="3" t="s">
        <v>4233</v>
      </c>
      <c r="AW323" s="3" t="s">
        <v>4234</v>
      </c>
      <c r="AX323" s="3" t="s">
        <v>4234</v>
      </c>
      <c r="AY323" s="3" t="s">
        <v>4235</v>
      </c>
      <c r="AZ323" s="3" t="s">
        <v>73</v>
      </c>
      <c r="BB323" s="3" t="s">
        <v>4236</v>
      </c>
      <c r="BC323" s="3" t="s">
        <v>4237</v>
      </c>
      <c r="BD323" s="3" t="s">
        <v>4238</v>
      </c>
    </row>
    <row r="324" spans="1:56" ht="45" customHeight="1" x14ac:dyDescent="0.25">
      <c r="A324" s="8" t="s">
        <v>58</v>
      </c>
      <c r="B324" s="2" t="s">
        <v>4239</v>
      </c>
      <c r="C324" s="2" t="s">
        <v>4240</v>
      </c>
      <c r="D324" s="2" t="s">
        <v>4241</v>
      </c>
      <c r="F324" s="3" t="s">
        <v>58</v>
      </c>
      <c r="G324" s="3" t="s">
        <v>59</v>
      </c>
      <c r="H324" s="3" t="s">
        <v>68</v>
      </c>
      <c r="I324" s="3" t="s">
        <v>58</v>
      </c>
      <c r="J324" s="3" t="s">
        <v>60</v>
      </c>
      <c r="K324" s="2" t="s">
        <v>4242</v>
      </c>
      <c r="L324" s="2" t="s">
        <v>4243</v>
      </c>
      <c r="M324" s="3" t="s">
        <v>552</v>
      </c>
      <c r="O324" s="3" t="s">
        <v>64</v>
      </c>
      <c r="P324" s="3" t="s">
        <v>114</v>
      </c>
      <c r="Q324" s="2" t="s">
        <v>4244</v>
      </c>
      <c r="R324" s="3" t="s">
        <v>66</v>
      </c>
      <c r="S324" s="4">
        <v>49</v>
      </c>
      <c r="T324" s="4">
        <v>49</v>
      </c>
      <c r="U324" s="5" t="s">
        <v>4245</v>
      </c>
      <c r="V324" s="5" t="s">
        <v>4245</v>
      </c>
      <c r="W324" s="5" t="s">
        <v>4246</v>
      </c>
      <c r="X324" s="5" t="s">
        <v>4246</v>
      </c>
      <c r="Y324" s="4">
        <v>746</v>
      </c>
      <c r="Z324" s="4">
        <v>534</v>
      </c>
      <c r="AA324" s="4">
        <v>920</v>
      </c>
      <c r="AB324" s="4">
        <v>6</v>
      </c>
      <c r="AC324" s="4">
        <v>9</v>
      </c>
      <c r="AD324" s="4">
        <v>13</v>
      </c>
      <c r="AE324" s="4">
        <v>30</v>
      </c>
      <c r="AF324" s="4">
        <v>3</v>
      </c>
      <c r="AG324" s="4">
        <v>13</v>
      </c>
      <c r="AH324" s="4">
        <v>3</v>
      </c>
      <c r="AI324" s="4">
        <v>5</v>
      </c>
      <c r="AJ324" s="4">
        <v>5</v>
      </c>
      <c r="AK324" s="4">
        <v>13</v>
      </c>
      <c r="AL324" s="4">
        <v>4</v>
      </c>
      <c r="AM324" s="4">
        <v>7</v>
      </c>
      <c r="AN324" s="4">
        <v>0</v>
      </c>
      <c r="AO324" s="4">
        <v>0</v>
      </c>
      <c r="AP324" s="3" t="s">
        <v>58</v>
      </c>
      <c r="AQ324" s="3" t="s">
        <v>58</v>
      </c>
      <c r="AS324" s="6" t="str">
        <f>HYPERLINK("https://creighton-primo.hosted.exlibrisgroup.com/primo-explore/search?tab=default_tab&amp;search_scope=EVERYTHING&amp;vid=01CRU&amp;lang=en_US&amp;offset=0&amp;query=any,contains,991001386479702656","Catalog Record")</f>
        <v>Catalog Record</v>
      </c>
      <c r="AT324" s="6" t="str">
        <f>HYPERLINK("http://www.worldcat.org/oclc/18716337","WorldCat Record")</f>
        <v>WorldCat Record</v>
      </c>
      <c r="AU324" s="3" t="s">
        <v>4247</v>
      </c>
      <c r="AV324" s="3" t="s">
        <v>4248</v>
      </c>
      <c r="AW324" s="3" t="s">
        <v>4249</v>
      </c>
      <c r="AX324" s="3" t="s">
        <v>4249</v>
      </c>
      <c r="AY324" s="3" t="s">
        <v>4250</v>
      </c>
      <c r="AZ324" s="3" t="s">
        <v>73</v>
      </c>
      <c r="BB324" s="3" t="s">
        <v>4251</v>
      </c>
      <c r="BC324" s="3" t="s">
        <v>4252</v>
      </c>
      <c r="BD324" s="3" t="s">
        <v>4253</v>
      </c>
    </row>
    <row r="325" spans="1:56" ht="45" customHeight="1" x14ac:dyDescent="0.25">
      <c r="A325" s="8" t="s">
        <v>58</v>
      </c>
      <c r="B325" s="2" t="s">
        <v>4254</v>
      </c>
      <c r="C325" s="2" t="s">
        <v>4255</v>
      </c>
      <c r="D325" s="2" t="s">
        <v>4256</v>
      </c>
      <c r="F325" s="3" t="s">
        <v>58</v>
      </c>
      <c r="G325" s="3" t="s">
        <v>59</v>
      </c>
      <c r="H325" s="3" t="s">
        <v>58</v>
      </c>
      <c r="I325" s="3" t="s">
        <v>58</v>
      </c>
      <c r="J325" s="3" t="s">
        <v>60</v>
      </c>
      <c r="K325" s="2" t="s">
        <v>4257</v>
      </c>
      <c r="L325" s="2" t="s">
        <v>4258</v>
      </c>
      <c r="M325" s="3" t="s">
        <v>1730</v>
      </c>
      <c r="O325" s="3" t="s">
        <v>64</v>
      </c>
      <c r="P325" s="3" t="s">
        <v>191</v>
      </c>
      <c r="Q325" s="2" t="s">
        <v>4259</v>
      </c>
      <c r="R325" s="3" t="s">
        <v>66</v>
      </c>
      <c r="S325" s="4">
        <v>14</v>
      </c>
      <c r="T325" s="4">
        <v>14</v>
      </c>
      <c r="U325" s="5" t="s">
        <v>4021</v>
      </c>
      <c r="V325" s="5" t="s">
        <v>4021</v>
      </c>
      <c r="W325" s="5" t="s">
        <v>4260</v>
      </c>
      <c r="X325" s="5" t="s">
        <v>4260</v>
      </c>
      <c r="Y325" s="4">
        <v>390</v>
      </c>
      <c r="Z325" s="4">
        <v>338</v>
      </c>
      <c r="AA325" s="4">
        <v>886</v>
      </c>
      <c r="AB325" s="4">
        <v>1</v>
      </c>
      <c r="AC325" s="4">
        <v>6</v>
      </c>
      <c r="AD325" s="4">
        <v>2</v>
      </c>
      <c r="AE325" s="4">
        <v>8</v>
      </c>
      <c r="AF325" s="4">
        <v>1</v>
      </c>
      <c r="AG325" s="4">
        <v>3</v>
      </c>
      <c r="AH325" s="4">
        <v>0</v>
      </c>
      <c r="AI325" s="4">
        <v>1</v>
      </c>
      <c r="AJ325" s="4">
        <v>2</v>
      </c>
      <c r="AK325" s="4">
        <v>3</v>
      </c>
      <c r="AL325" s="4">
        <v>0</v>
      </c>
      <c r="AM325" s="4">
        <v>3</v>
      </c>
      <c r="AN325" s="4">
        <v>0</v>
      </c>
      <c r="AO325" s="4">
        <v>0</v>
      </c>
      <c r="AP325" s="3" t="s">
        <v>58</v>
      </c>
      <c r="AQ325" s="3" t="s">
        <v>58</v>
      </c>
      <c r="AS325" s="6" t="str">
        <f>HYPERLINK("https://creighton-primo.hosted.exlibrisgroup.com/primo-explore/search?tab=default_tab&amp;search_scope=EVERYTHING&amp;vid=01CRU&amp;lang=en_US&amp;offset=0&amp;query=any,contains,991002342159702656","Catalog Record")</f>
        <v>Catalog Record</v>
      </c>
      <c r="AT325" s="6" t="str">
        <f>HYPERLINK("http://www.worldcat.org/oclc/30508178","WorldCat Record")</f>
        <v>WorldCat Record</v>
      </c>
      <c r="AU325" s="3" t="s">
        <v>4261</v>
      </c>
      <c r="AV325" s="3" t="s">
        <v>4262</v>
      </c>
      <c r="AW325" s="3" t="s">
        <v>4263</v>
      </c>
      <c r="AX325" s="3" t="s">
        <v>4263</v>
      </c>
      <c r="AY325" s="3" t="s">
        <v>4264</v>
      </c>
      <c r="AZ325" s="3" t="s">
        <v>73</v>
      </c>
      <c r="BB325" s="3" t="s">
        <v>4265</v>
      </c>
      <c r="BC325" s="3" t="s">
        <v>4266</v>
      </c>
      <c r="BD325" s="3" t="s">
        <v>4267</v>
      </c>
    </row>
    <row r="326" spans="1:56" ht="45" customHeight="1" x14ac:dyDescent="0.25">
      <c r="A326" s="8" t="s">
        <v>58</v>
      </c>
      <c r="B326" s="2" t="s">
        <v>4268</v>
      </c>
      <c r="C326" s="2" t="s">
        <v>4269</v>
      </c>
      <c r="D326" s="2" t="s">
        <v>4270</v>
      </c>
      <c r="F326" s="3" t="s">
        <v>58</v>
      </c>
      <c r="G326" s="3" t="s">
        <v>59</v>
      </c>
      <c r="H326" s="3" t="s">
        <v>58</v>
      </c>
      <c r="I326" s="3" t="s">
        <v>58</v>
      </c>
      <c r="J326" s="3" t="s">
        <v>60</v>
      </c>
      <c r="K326" s="2" t="s">
        <v>4271</v>
      </c>
      <c r="L326" s="2" t="s">
        <v>4272</v>
      </c>
      <c r="M326" s="3" t="s">
        <v>365</v>
      </c>
      <c r="N326" s="2" t="s">
        <v>791</v>
      </c>
      <c r="O326" s="3" t="s">
        <v>64</v>
      </c>
      <c r="P326" s="3" t="s">
        <v>114</v>
      </c>
      <c r="R326" s="3" t="s">
        <v>66</v>
      </c>
      <c r="S326" s="4">
        <v>21</v>
      </c>
      <c r="T326" s="4">
        <v>21</v>
      </c>
      <c r="U326" s="5" t="s">
        <v>4273</v>
      </c>
      <c r="V326" s="5" t="s">
        <v>4273</v>
      </c>
      <c r="W326" s="5" t="s">
        <v>4274</v>
      </c>
      <c r="X326" s="5" t="s">
        <v>4274</v>
      </c>
      <c r="Y326" s="4">
        <v>415</v>
      </c>
      <c r="Z326" s="4">
        <v>275</v>
      </c>
      <c r="AA326" s="4">
        <v>277</v>
      </c>
      <c r="AB326" s="4">
        <v>2</v>
      </c>
      <c r="AC326" s="4">
        <v>2</v>
      </c>
      <c r="AD326" s="4">
        <v>10</v>
      </c>
      <c r="AE326" s="4">
        <v>10</v>
      </c>
      <c r="AF326" s="4">
        <v>4</v>
      </c>
      <c r="AG326" s="4">
        <v>4</v>
      </c>
      <c r="AH326" s="4">
        <v>3</v>
      </c>
      <c r="AI326" s="4">
        <v>3</v>
      </c>
      <c r="AJ326" s="4">
        <v>5</v>
      </c>
      <c r="AK326" s="4">
        <v>5</v>
      </c>
      <c r="AL326" s="4">
        <v>1</v>
      </c>
      <c r="AM326" s="4">
        <v>1</v>
      </c>
      <c r="AN326" s="4">
        <v>0</v>
      </c>
      <c r="AO326" s="4">
        <v>0</v>
      </c>
      <c r="AP326" s="3" t="s">
        <v>58</v>
      </c>
      <c r="AQ326" s="3" t="s">
        <v>68</v>
      </c>
      <c r="AR326" s="6" t="str">
        <f>HYPERLINK("http://catalog.hathitrust.org/Record/001571020","HathiTrust Record")</f>
        <v>HathiTrust Record</v>
      </c>
      <c r="AS326" s="6" t="str">
        <f>HYPERLINK("https://creighton-primo.hosted.exlibrisgroup.com/primo-explore/search?tab=default_tab&amp;search_scope=EVERYTHING&amp;vid=01CRU&amp;lang=en_US&amp;offset=0&amp;query=any,contains,991000544939702656","Catalog Record")</f>
        <v>Catalog Record</v>
      </c>
      <c r="AT326" s="6" t="str">
        <f>HYPERLINK("http://www.worldcat.org/oclc/91259","WorldCat Record")</f>
        <v>WorldCat Record</v>
      </c>
      <c r="AU326" s="3" t="s">
        <v>4275</v>
      </c>
      <c r="AV326" s="3" t="s">
        <v>4276</v>
      </c>
      <c r="AW326" s="3" t="s">
        <v>4277</v>
      </c>
      <c r="AX326" s="3" t="s">
        <v>4277</v>
      </c>
      <c r="AY326" s="3" t="s">
        <v>4278</v>
      </c>
      <c r="AZ326" s="3" t="s">
        <v>73</v>
      </c>
      <c r="BB326" s="3" t="s">
        <v>4279</v>
      </c>
      <c r="BC326" s="3" t="s">
        <v>4280</v>
      </c>
      <c r="BD326" s="3" t="s">
        <v>4281</v>
      </c>
    </row>
    <row r="327" spans="1:56" ht="45" customHeight="1" x14ac:dyDescent="0.25">
      <c r="A327" s="8" t="s">
        <v>58</v>
      </c>
      <c r="B327" s="2" t="s">
        <v>4282</v>
      </c>
      <c r="C327" s="2" t="s">
        <v>4283</v>
      </c>
      <c r="D327" s="2" t="s">
        <v>4284</v>
      </c>
      <c r="F327" s="3" t="s">
        <v>58</v>
      </c>
      <c r="G327" s="3" t="s">
        <v>59</v>
      </c>
      <c r="H327" s="3" t="s">
        <v>58</v>
      </c>
      <c r="I327" s="3" t="s">
        <v>58</v>
      </c>
      <c r="J327" s="3" t="s">
        <v>60</v>
      </c>
      <c r="K327" s="2" t="s">
        <v>4285</v>
      </c>
      <c r="L327" s="2" t="s">
        <v>4286</v>
      </c>
      <c r="M327" s="3" t="s">
        <v>176</v>
      </c>
      <c r="O327" s="3" t="s">
        <v>64</v>
      </c>
      <c r="P327" s="3" t="s">
        <v>114</v>
      </c>
      <c r="Q327" s="2" t="s">
        <v>4287</v>
      </c>
      <c r="R327" s="3" t="s">
        <v>66</v>
      </c>
      <c r="S327" s="4">
        <v>45</v>
      </c>
      <c r="T327" s="4">
        <v>45</v>
      </c>
      <c r="U327" s="5" t="s">
        <v>4288</v>
      </c>
      <c r="V327" s="5" t="s">
        <v>4288</v>
      </c>
      <c r="W327" s="5" t="s">
        <v>4289</v>
      </c>
      <c r="X327" s="5" t="s">
        <v>4289</v>
      </c>
      <c r="Y327" s="4">
        <v>440</v>
      </c>
      <c r="Z327" s="4">
        <v>312</v>
      </c>
      <c r="AA327" s="4">
        <v>322</v>
      </c>
      <c r="AB327" s="4">
        <v>3</v>
      </c>
      <c r="AC327" s="4">
        <v>3</v>
      </c>
      <c r="AD327" s="4">
        <v>14</v>
      </c>
      <c r="AE327" s="4">
        <v>14</v>
      </c>
      <c r="AF327" s="4">
        <v>5</v>
      </c>
      <c r="AG327" s="4">
        <v>5</v>
      </c>
      <c r="AH327" s="4">
        <v>2</v>
      </c>
      <c r="AI327" s="4">
        <v>2</v>
      </c>
      <c r="AJ327" s="4">
        <v>9</v>
      </c>
      <c r="AK327" s="4">
        <v>9</v>
      </c>
      <c r="AL327" s="4">
        <v>2</v>
      </c>
      <c r="AM327" s="4">
        <v>2</v>
      </c>
      <c r="AN327" s="4">
        <v>0</v>
      </c>
      <c r="AO327" s="4">
        <v>0</v>
      </c>
      <c r="AP327" s="3" t="s">
        <v>58</v>
      </c>
      <c r="AQ327" s="3" t="s">
        <v>58</v>
      </c>
      <c r="AS327" s="6" t="str">
        <f>HYPERLINK("https://creighton-primo.hosted.exlibrisgroup.com/primo-explore/search?tab=default_tab&amp;search_scope=EVERYTHING&amp;vid=01CRU&amp;lang=en_US&amp;offset=0&amp;query=any,contains,991002273969702656","Catalog Record")</f>
        <v>Catalog Record</v>
      </c>
      <c r="AT327" s="6" t="str">
        <f>HYPERLINK("http://www.worldcat.org/oclc/30921671","WorldCat Record")</f>
        <v>WorldCat Record</v>
      </c>
      <c r="AU327" s="3" t="s">
        <v>4290</v>
      </c>
      <c r="AV327" s="3" t="s">
        <v>4291</v>
      </c>
      <c r="AW327" s="3" t="s">
        <v>4292</v>
      </c>
      <c r="AX327" s="3" t="s">
        <v>4292</v>
      </c>
      <c r="AY327" s="3" t="s">
        <v>4293</v>
      </c>
      <c r="AZ327" s="3" t="s">
        <v>73</v>
      </c>
      <c r="BB327" s="3" t="s">
        <v>4294</v>
      </c>
      <c r="BC327" s="3" t="s">
        <v>4295</v>
      </c>
      <c r="BD327" s="3" t="s">
        <v>4296</v>
      </c>
    </row>
    <row r="328" spans="1:56" ht="45" customHeight="1" x14ac:dyDescent="0.25">
      <c r="A328" s="8" t="s">
        <v>58</v>
      </c>
      <c r="B328" s="2" t="s">
        <v>4297</v>
      </c>
      <c r="C328" s="2" t="s">
        <v>4298</v>
      </c>
      <c r="D328" s="2" t="s">
        <v>4299</v>
      </c>
      <c r="F328" s="3" t="s">
        <v>58</v>
      </c>
      <c r="G328" s="3" t="s">
        <v>59</v>
      </c>
      <c r="H328" s="3" t="s">
        <v>68</v>
      </c>
      <c r="I328" s="3" t="s">
        <v>58</v>
      </c>
      <c r="J328" s="3" t="s">
        <v>60</v>
      </c>
      <c r="K328" s="2" t="s">
        <v>4300</v>
      </c>
      <c r="L328" s="2" t="s">
        <v>4301</v>
      </c>
      <c r="M328" s="3" t="s">
        <v>450</v>
      </c>
      <c r="O328" s="3" t="s">
        <v>64</v>
      </c>
      <c r="P328" s="3" t="s">
        <v>114</v>
      </c>
      <c r="Q328" s="2" t="s">
        <v>4302</v>
      </c>
      <c r="R328" s="3" t="s">
        <v>66</v>
      </c>
      <c r="S328" s="4">
        <v>39</v>
      </c>
      <c r="T328" s="4">
        <v>39</v>
      </c>
      <c r="U328" s="5" t="s">
        <v>4083</v>
      </c>
      <c r="V328" s="5" t="s">
        <v>4083</v>
      </c>
      <c r="W328" s="5" t="s">
        <v>4120</v>
      </c>
      <c r="X328" s="5" t="s">
        <v>4120</v>
      </c>
      <c r="Y328" s="4">
        <v>274</v>
      </c>
      <c r="Z328" s="4">
        <v>156</v>
      </c>
      <c r="AA328" s="4">
        <v>159</v>
      </c>
      <c r="AB328" s="4">
        <v>3</v>
      </c>
      <c r="AC328" s="4">
        <v>3</v>
      </c>
      <c r="AD328" s="4">
        <v>5</v>
      </c>
      <c r="AE328" s="4">
        <v>5</v>
      </c>
      <c r="AF328" s="4">
        <v>0</v>
      </c>
      <c r="AG328" s="4">
        <v>0</v>
      </c>
      <c r="AH328" s="4">
        <v>2</v>
      </c>
      <c r="AI328" s="4">
        <v>2</v>
      </c>
      <c r="AJ328" s="4">
        <v>2</v>
      </c>
      <c r="AK328" s="4">
        <v>2</v>
      </c>
      <c r="AL328" s="4">
        <v>1</v>
      </c>
      <c r="AM328" s="4">
        <v>1</v>
      </c>
      <c r="AN328" s="4">
        <v>0</v>
      </c>
      <c r="AO328" s="4">
        <v>0</v>
      </c>
      <c r="AP328" s="3" t="s">
        <v>58</v>
      </c>
      <c r="AQ328" s="3" t="s">
        <v>68</v>
      </c>
      <c r="AR328" s="6" t="str">
        <f>HYPERLINK("http://catalog.hathitrust.org/Record/000879758","HathiTrust Record")</f>
        <v>HathiTrust Record</v>
      </c>
      <c r="AS328" s="6" t="str">
        <f>HYPERLINK("https://creighton-primo.hosted.exlibrisgroup.com/primo-explore/search?tab=default_tab&amp;search_scope=EVERYTHING&amp;vid=01CRU&amp;lang=en_US&amp;offset=0&amp;query=any,contains,991000934729702656","Catalog Record")</f>
        <v>Catalog Record</v>
      </c>
      <c r="AT328" s="6" t="str">
        <f>HYPERLINK("http://www.worldcat.org/oclc/14357753","WorldCat Record")</f>
        <v>WorldCat Record</v>
      </c>
      <c r="AU328" s="3" t="s">
        <v>4303</v>
      </c>
      <c r="AV328" s="3" t="s">
        <v>4304</v>
      </c>
      <c r="AW328" s="3" t="s">
        <v>4305</v>
      </c>
      <c r="AX328" s="3" t="s">
        <v>4305</v>
      </c>
      <c r="AY328" s="3" t="s">
        <v>4306</v>
      </c>
      <c r="AZ328" s="3" t="s">
        <v>73</v>
      </c>
      <c r="BB328" s="3" t="s">
        <v>4307</v>
      </c>
      <c r="BC328" s="3" t="s">
        <v>4308</v>
      </c>
      <c r="BD328" s="3" t="s">
        <v>4309</v>
      </c>
    </row>
    <row r="329" spans="1:56" ht="45" customHeight="1" x14ac:dyDescent="0.25">
      <c r="A329" s="8" t="s">
        <v>58</v>
      </c>
      <c r="B329" s="2" t="s">
        <v>4310</v>
      </c>
      <c r="C329" s="2" t="s">
        <v>4311</v>
      </c>
      <c r="D329" s="2" t="s">
        <v>4312</v>
      </c>
      <c r="F329" s="3" t="s">
        <v>58</v>
      </c>
      <c r="G329" s="3" t="s">
        <v>59</v>
      </c>
      <c r="H329" s="3" t="s">
        <v>58</v>
      </c>
      <c r="I329" s="3" t="s">
        <v>58</v>
      </c>
      <c r="J329" s="3" t="s">
        <v>60</v>
      </c>
      <c r="K329" s="2" t="s">
        <v>4313</v>
      </c>
      <c r="L329" s="2" t="s">
        <v>4314</v>
      </c>
      <c r="M329" s="3" t="s">
        <v>762</v>
      </c>
      <c r="O329" s="3" t="s">
        <v>64</v>
      </c>
      <c r="P329" s="3" t="s">
        <v>177</v>
      </c>
      <c r="R329" s="3" t="s">
        <v>66</v>
      </c>
      <c r="S329" s="4">
        <v>10</v>
      </c>
      <c r="T329" s="4">
        <v>10</v>
      </c>
      <c r="U329" s="5" t="s">
        <v>4315</v>
      </c>
      <c r="V329" s="5" t="s">
        <v>4315</v>
      </c>
      <c r="W329" s="5" t="s">
        <v>4185</v>
      </c>
      <c r="X329" s="5" t="s">
        <v>4185</v>
      </c>
      <c r="Y329" s="4">
        <v>197</v>
      </c>
      <c r="Z329" s="4">
        <v>191</v>
      </c>
      <c r="AA329" s="4">
        <v>272</v>
      </c>
      <c r="AB329" s="4">
        <v>3</v>
      </c>
      <c r="AC329" s="4">
        <v>4</v>
      </c>
      <c r="AD329" s="4">
        <v>9</v>
      </c>
      <c r="AE329" s="4">
        <v>10</v>
      </c>
      <c r="AF329" s="4">
        <v>4</v>
      </c>
      <c r="AG329" s="4">
        <v>4</v>
      </c>
      <c r="AH329" s="4">
        <v>0</v>
      </c>
      <c r="AI329" s="4">
        <v>0</v>
      </c>
      <c r="AJ329" s="4">
        <v>5</v>
      </c>
      <c r="AK329" s="4">
        <v>5</v>
      </c>
      <c r="AL329" s="4">
        <v>2</v>
      </c>
      <c r="AM329" s="4">
        <v>3</v>
      </c>
      <c r="AN329" s="4">
        <v>0</v>
      </c>
      <c r="AO329" s="4">
        <v>0</v>
      </c>
      <c r="AP329" s="3" t="s">
        <v>58</v>
      </c>
      <c r="AQ329" s="3" t="s">
        <v>68</v>
      </c>
      <c r="AR329" s="6" t="str">
        <f>HYPERLINK("http://catalog.hathitrust.org/Record/001571021","HathiTrust Record")</f>
        <v>HathiTrust Record</v>
      </c>
      <c r="AS329" s="6" t="str">
        <f>HYPERLINK("https://creighton-primo.hosted.exlibrisgroup.com/primo-explore/search?tab=default_tab&amp;search_scope=EVERYTHING&amp;vid=01CRU&amp;lang=en_US&amp;offset=0&amp;query=any,contains,991002732839702656","Catalog Record")</f>
        <v>Catalog Record</v>
      </c>
      <c r="AT329" s="6" t="str">
        <f>HYPERLINK("http://www.worldcat.org/oclc/417915","WorldCat Record")</f>
        <v>WorldCat Record</v>
      </c>
      <c r="AU329" s="3" t="s">
        <v>4316</v>
      </c>
      <c r="AV329" s="3" t="s">
        <v>4317</v>
      </c>
      <c r="AW329" s="3" t="s">
        <v>4318</v>
      </c>
      <c r="AX329" s="3" t="s">
        <v>4318</v>
      </c>
      <c r="AY329" s="3" t="s">
        <v>4319</v>
      </c>
      <c r="AZ329" s="3" t="s">
        <v>73</v>
      </c>
      <c r="BC329" s="3" t="s">
        <v>4320</v>
      </c>
      <c r="BD329" s="3" t="s">
        <v>4321</v>
      </c>
    </row>
    <row r="330" spans="1:56" ht="45" customHeight="1" x14ac:dyDescent="0.25">
      <c r="A330" s="8" t="s">
        <v>58</v>
      </c>
      <c r="B330" s="2" t="s">
        <v>4322</v>
      </c>
      <c r="C330" s="2" t="s">
        <v>4323</v>
      </c>
      <c r="D330" s="2" t="s">
        <v>4324</v>
      </c>
      <c r="F330" s="3" t="s">
        <v>58</v>
      </c>
      <c r="G330" s="3" t="s">
        <v>59</v>
      </c>
      <c r="H330" s="3" t="s">
        <v>58</v>
      </c>
      <c r="I330" s="3" t="s">
        <v>58</v>
      </c>
      <c r="J330" s="3" t="s">
        <v>60</v>
      </c>
      <c r="K330" s="2" t="s">
        <v>3361</v>
      </c>
      <c r="L330" s="2" t="s">
        <v>4325</v>
      </c>
      <c r="M330" s="3" t="s">
        <v>129</v>
      </c>
      <c r="N330" s="2" t="s">
        <v>63</v>
      </c>
      <c r="O330" s="3" t="s">
        <v>64</v>
      </c>
      <c r="P330" s="3" t="s">
        <v>177</v>
      </c>
      <c r="R330" s="3" t="s">
        <v>66</v>
      </c>
      <c r="S330" s="4">
        <v>4</v>
      </c>
      <c r="T330" s="4">
        <v>4</v>
      </c>
      <c r="U330" s="5" t="s">
        <v>4315</v>
      </c>
      <c r="V330" s="5" t="s">
        <v>4315</v>
      </c>
      <c r="W330" s="5" t="s">
        <v>236</v>
      </c>
      <c r="X330" s="5" t="s">
        <v>236</v>
      </c>
      <c r="Y330" s="4">
        <v>649</v>
      </c>
      <c r="Z330" s="4">
        <v>604</v>
      </c>
      <c r="AA330" s="4">
        <v>1132</v>
      </c>
      <c r="AB330" s="4">
        <v>5</v>
      </c>
      <c r="AC330" s="4">
        <v>10</v>
      </c>
      <c r="AD330" s="4">
        <v>8</v>
      </c>
      <c r="AE330" s="4">
        <v>15</v>
      </c>
      <c r="AF330" s="4">
        <v>4</v>
      </c>
      <c r="AG330" s="4">
        <v>7</v>
      </c>
      <c r="AH330" s="4">
        <v>1</v>
      </c>
      <c r="AI330" s="4">
        <v>2</v>
      </c>
      <c r="AJ330" s="4">
        <v>3</v>
      </c>
      <c r="AK330" s="4">
        <v>5</v>
      </c>
      <c r="AL330" s="4">
        <v>1</v>
      </c>
      <c r="AM330" s="4">
        <v>3</v>
      </c>
      <c r="AN330" s="4">
        <v>0</v>
      </c>
      <c r="AO330" s="4">
        <v>0</v>
      </c>
      <c r="AP330" s="3" t="s">
        <v>58</v>
      </c>
      <c r="AQ330" s="3" t="s">
        <v>58</v>
      </c>
      <c r="AS330" s="6" t="str">
        <f>HYPERLINK("https://creighton-primo.hosted.exlibrisgroup.com/primo-explore/search?tab=default_tab&amp;search_scope=EVERYTHING&amp;vid=01CRU&amp;lang=en_US&amp;offset=0&amp;query=any,contains,991003909599702656","Catalog Record")</f>
        <v>Catalog Record</v>
      </c>
      <c r="AT330" s="6" t="str">
        <f>HYPERLINK("http://www.worldcat.org/oclc/1848976","WorldCat Record")</f>
        <v>WorldCat Record</v>
      </c>
      <c r="AU330" s="3" t="s">
        <v>4326</v>
      </c>
      <c r="AV330" s="3" t="s">
        <v>4327</v>
      </c>
      <c r="AW330" s="3" t="s">
        <v>4328</v>
      </c>
      <c r="AX330" s="3" t="s">
        <v>4328</v>
      </c>
      <c r="AY330" s="3" t="s">
        <v>4329</v>
      </c>
      <c r="AZ330" s="3" t="s">
        <v>73</v>
      </c>
      <c r="BB330" s="3" t="s">
        <v>4330</v>
      </c>
      <c r="BC330" s="3" t="s">
        <v>4331</v>
      </c>
      <c r="BD330" s="3" t="s">
        <v>4332</v>
      </c>
    </row>
    <row r="331" spans="1:56" ht="45" customHeight="1" x14ac:dyDescent="0.25">
      <c r="A331" s="8" t="s">
        <v>58</v>
      </c>
      <c r="B331" s="2" t="s">
        <v>4333</v>
      </c>
      <c r="C331" s="2" t="s">
        <v>4334</v>
      </c>
      <c r="D331" s="2" t="s">
        <v>4335</v>
      </c>
      <c r="F331" s="3" t="s">
        <v>58</v>
      </c>
      <c r="G331" s="3" t="s">
        <v>59</v>
      </c>
      <c r="H331" s="3" t="s">
        <v>68</v>
      </c>
      <c r="I331" s="3" t="s">
        <v>58</v>
      </c>
      <c r="J331" s="3" t="s">
        <v>60</v>
      </c>
      <c r="K331" s="2" t="s">
        <v>4336</v>
      </c>
      <c r="L331" s="2" t="s">
        <v>4337</v>
      </c>
      <c r="M331" s="3" t="s">
        <v>480</v>
      </c>
      <c r="O331" s="3" t="s">
        <v>64</v>
      </c>
      <c r="P331" s="3" t="s">
        <v>4338</v>
      </c>
      <c r="R331" s="3" t="s">
        <v>66</v>
      </c>
      <c r="S331" s="4">
        <v>7</v>
      </c>
      <c r="T331" s="4">
        <v>18</v>
      </c>
      <c r="U331" s="5" t="s">
        <v>4339</v>
      </c>
      <c r="V331" s="5" t="s">
        <v>4339</v>
      </c>
      <c r="W331" s="5" t="s">
        <v>2306</v>
      </c>
      <c r="X331" s="5" t="s">
        <v>2306</v>
      </c>
      <c r="Y331" s="4">
        <v>91</v>
      </c>
      <c r="Z331" s="4">
        <v>74</v>
      </c>
      <c r="AA331" s="4">
        <v>109</v>
      </c>
      <c r="AB331" s="4">
        <v>4</v>
      </c>
      <c r="AC331" s="4">
        <v>4</v>
      </c>
      <c r="AD331" s="4">
        <v>4</v>
      </c>
      <c r="AE331" s="4">
        <v>6</v>
      </c>
      <c r="AF331" s="4">
        <v>1</v>
      </c>
      <c r="AG331" s="4">
        <v>3</v>
      </c>
      <c r="AH331" s="4">
        <v>0</v>
      </c>
      <c r="AI331" s="4">
        <v>0</v>
      </c>
      <c r="AJ331" s="4">
        <v>1</v>
      </c>
      <c r="AK331" s="4">
        <v>2</v>
      </c>
      <c r="AL331" s="4">
        <v>2</v>
      </c>
      <c r="AM331" s="4">
        <v>2</v>
      </c>
      <c r="AN331" s="4">
        <v>0</v>
      </c>
      <c r="AO331" s="4">
        <v>0</v>
      </c>
      <c r="AP331" s="3" t="s">
        <v>58</v>
      </c>
      <c r="AQ331" s="3" t="s">
        <v>58</v>
      </c>
      <c r="AS331" s="6" t="str">
        <f>HYPERLINK("https://creighton-primo.hosted.exlibrisgroup.com/primo-explore/search?tab=default_tab&amp;search_scope=EVERYTHING&amp;vid=01CRU&amp;lang=en_US&amp;offset=0&amp;query=any,contains,991001797869702656","Catalog Record")</f>
        <v>Catalog Record</v>
      </c>
      <c r="AT331" s="6" t="str">
        <f>HYPERLINK("http://www.worldcat.org/oclc/8643722","WorldCat Record")</f>
        <v>WorldCat Record</v>
      </c>
      <c r="AU331" s="3" t="s">
        <v>4340</v>
      </c>
      <c r="AV331" s="3" t="s">
        <v>4341</v>
      </c>
      <c r="AW331" s="3" t="s">
        <v>4342</v>
      </c>
      <c r="AX331" s="3" t="s">
        <v>4342</v>
      </c>
      <c r="AY331" s="3" t="s">
        <v>4343</v>
      </c>
      <c r="AZ331" s="3" t="s">
        <v>73</v>
      </c>
      <c r="BB331" s="3" t="s">
        <v>4344</v>
      </c>
      <c r="BC331" s="3" t="s">
        <v>4345</v>
      </c>
      <c r="BD331" s="3" t="s">
        <v>4346</v>
      </c>
    </row>
    <row r="332" spans="1:56" ht="45" customHeight="1" x14ac:dyDescent="0.25">
      <c r="A332" s="8" t="s">
        <v>58</v>
      </c>
      <c r="B332" s="2" t="s">
        <v>4347</v>
      </c>
      <c r="C332" s="2" t="s">
        <v>4348</v>
      </c>
      <c r="D332" s="2" t="s">
        <v>4349</v>
      </c>
      <c r="F332" s="3" t="s">
        <v>58</v>
      </c>
      <c r="G332" s="3" t="s">
        <v>59</v>
      </c>
      <c r="H332" s="3" t="s">
        <v>58</v>
      </c>
      <c r="I332" s="3" t="s">
        <v>58</v>
      </c>
      <c r="J332" s="3" t="s">
        <v>60</v>
      </c>
      <c r="K332" s="2" t="s">
        <v>4336</v>
      </c>
      <c r="L332" s="2" t="s">
        <v>4350</v>
      </c>
      <c r="M332" s="3" t="s">
        <v>480</v>
      </c>
      <c r="O332" s="3" t="s">
        <v>64</v>
      </c>
      <c r="P332" s="3" t="s">
        <v>4338</v>
      </c>
      <c r="R332" s="3" t="s">
        <v>66</v>
      </c>
      <c r="S332" s="4">
        <v>11</v>
      </c>
      <c r="T332" s="4">
        <v>11</v>
      </c>
      <c r="U332" s="5" t="s">
        <v>4351</v>
      </c>
      <c r="V332" s="5" t="s">
        <v>4351</v>
      </c>
      <c r="W332" s="5" t="s">
        <v>4352</v>
      </c>
      <c r="X332" s="5" t="s">
        <v>4352</v>
      </c>
      <c r="Y332" s="4">
        <v>92</v>
      </c>
      <c r="Z332" s="4">
        <v>72</v>
      </c>
      <c r="AA332" s="4">
        <v>94</v>
      </c>
      <c r="AB332" s="4">
        <v>2</v>
      </c>
      <c r="AC332" s="4">
        <v>2</v>
      </c>
      <c r="AD332" s="4">
        <v>5</v>
      </c>
      <c r="AE332" s="4">
        <v>5</v>
      </c>
      <c r="AF332" s="4">
        <v>3</v>
      </c>
      <c r="AG332" s="4">
        <v>3</v>
      </c>
      <c r="AH332" s="4">
        <v>0</v>
      </c>
      <c r="AI332" s="4">
        <v>0</v>
      </c>
      <c r="AJ332" s="4">
        <v>1</v>
      </c>
      <c r="AK332" s="4">
        <v>1</v>
      </c>
      <c r="AL332" s="4">
        <v>1</v>
      </c>
      <c r="AM332" s="4">
        <v>1</v>
      </c>
      <c r="AN332" s="4">
        <v>0</v>
      </c>
      <c r="AO332" s="4">
        <v>0</v>
      </c>
      <c r="AP332" s="3" t="s">
        <v>58</v>
      </c>
      <c r="AQ332" s="3" t="s">
        <v>58</v>
      </c>
      <c r="AS332" s="6" t="str">
        <f>HYPERLINK("https://creighton-primo.hosted.exlibrisgroup.com/primo-explore/search?tab=default_tab&amp;search_scope=EVERYTHING&amp;vid=01CRU&amp;lang=en_US&amp;offset=0&amp;query=any,contains,991000040119702656","Catalog Record")</f>
        <v>Catalog Record</v>
      </c>
      <c r="AT332" s="6" t="str">
        <f>HYPERLINK("http://www.worldcat.org/oclc/8643689","WorldCat Record")</f>
        <v>WorldCat Record</v>
      </c>
      <c r="AU332" s="3" t="s">
        <v>4353</v>
      </c>
      <c r="AV332" s="3" t="s">
        <v>4354</v>
      </c>
      <c r="AW332" s="3" t="s">
        <v>4355</v>
      </c>
      <c r="AX332" s="3" t="s">
        <v>4355</v>
      </c>
      <c r="AY332" s="3" t="s">
        <v>4356</v>
      </c>
      <c r="AZ332" s="3" t="s">
        <v>73</v>
      </c>
      <c r="BB332" s="3" t="s">
        <v>4357</v>
      </c>
      <c r="BC332" s="3" t="s">
        <v>4358</v>
      </c>
      <c r="BD332" s="3" t="s">
        <v>4359</v>
      </c>
    </row>
    <row r="333" spans="1:56" ht="45" customHeight="1" x14ac:dyDescent="0.25">
      <c r="A333" s="8" t="s">
        <v>58</v>
      </c>
      <c r="B333" s="2" t="s">
        <v>4360</v>
      </c>
      <c r="C333" s="2" t="s">
        <v>4361</v>
      </c>
      <c r="D333" s="2" t="s">
        <v>4362</v>
      </c>
      <c r="F333" s="3" t="s">
        <v>58</v>
      </c>
      <c r="G333" s="3" t="s">
        <v>59</v>
      </c>
      <c r="H333" s="3" t="s">
        <v>58</v>
      </c>
      <c r="I333" s="3" t="s">
        <v>58</v>
      </c>
      <c r="J333" s="3" t="s">
        <v>60</v>
      </c>
      <c r="K333" s="2" t="s">
        <v>4363</v>
      </c>
      <c r="L333" s="2" t="s">
        <v>4364</v>
      </c>
      <c r="M333" s="3" t="s">
        <v>681</v>
      </c>
      <c r="O333" s="3" t="s">
        <v>64</v>
      </c>
      <c r="P333" s="3" t="s">
        <v>422</v>
      </c>
      <c r="R333" s="3" t="s">
        <v>66</v>
      </c>
      <c r="S333" s="4">
        <v>20</v>
      </c>
      <c r="T333" s="4">
        <v>20</v>
      </c>
      <c r="U333" s="5" t="s">
        <v>3995</v>
      </c>
      <c r="V333" s="5" t="s">
        <v>3995</v>
      </c>
      <c r="W333" s="5" t="s">
        <v>4352</v>
      </c>
      <c r="X333" s="5" t="s">
        <v>4352</v>
      </c>
      <c r="Y333" s="4">
        <v>161</v>
      </c>
      <c r="Z333" s="4">
        <v>152</v>
      </c>
      <c r="AA333" s="4">
        <v>634</v>
      </c>
      <c r="AB333" s="4">
        <v>1</v>
      </c>
      <c r="AC333" s="4">
        <v>7</v>
      </c>
      <c r="AD333" s="4">
        <v>4</v>
      </c>
      <c r="AE333" s="4">
        <v>16</v>
      </c>
      <c r="AF333" s="4">
        <v>1</v>
      </c>
      <c r="AG333" s="4">
        <v>7</v>
      </c>
      <c r="AH333" s="4">
        <v>1</v>
      </c>
      <c r="AI333" s="4">
        <v>1</v>
      </c>
      <c r="AJ333" s="4">
        <v>4</v>
      </c>
      <c r="AK333" s="4">
        <v>6</v>
      </c>
      <c r="AL333" s="4">
        <v>0</v>
      </c>
      <c r="AM333" s="4">
        <v>6</v>
      </c>
      <c r="AN333" s="4">
        <v>0</v>
      </c>
      <c r="AO333" s="4">
        <v>0</v>
      </c>
      <c r="AP333" s="3" t="s">
        <v>58</v>
      </c>
      <c r="AQ333" s="3" t="s">
        <v>58</v>
      </c>
      <c r="AS333" s="6" t="str">
        <f>HYPERLINK("https://creighton-primo.hosted.exlibrisgroup.com/primo-explore/search?tab=default_tab&amp;search_scope=EVERYTHING&amp;vid=01CRU&amp;lang=en_US&amp;offset=0&amp;query=any,contains,991000332299702656","Catalog Record")</f>
        <v>Catalog Record</v>
      </c>
      <c r="AT333" s="6" t="str">
        <f>HYPERLINK("http://www.worldcat.org/oclc/10207935","WorldCat Record")</f>
        <v>WorldCat Record</v>
      </c>
      <c r="AU333" s="3" t="s">
        <v>4365</v>
      </c>
      <c r="AV333" s="3" t="s">
        <v>4366</v>
      </c>
      <c r="AW333" s="3" t="s">
        <v>4367</v>
      </c>
      <c r="AX333" s="3" t="s">
        <v>4367</v>
      </c>
      <c r="AY333" s="3" t="s">
        <v>4368</v>
      </c>
      <c r="AZ333" s="3" t="s">
        <v>73</v>
      </c>
      <c r="BB333" s="3" t="s">
        <v>4369</v>
      </c>
      <c r="BC333" s="3" t="s">
        <v>4370</v>
      </c>
      <c r="BD333" s="3" t="s">
        <v>4371</v>
      </c>
    </row>
    <row r="334" spans="1:56" ht="45" customHeight="1" x14ac:dyDescent="0.25">
      <c r="A334" s="8" t="s">
        <v>58</v>
      </c>
      <c r="B334" s="2" t="s">
        <v>4372</v>
      </c>
      <c r="C334" s="2" t="s">
        <v>4373</v>
      </c>
      <c r="D334" s="2" t="s">
        <v>4374</v>
      </c>
      <c r="F334" s="3" t="s">
        <v>58</v>
      </c>
      <c r="G334" s="3" t="s">
        <v>59</v>
      </c>
      <c r="H334" s="3" t="s">
        <v>58</v>
      </c>
      <c r="I334" s="3" t="s">
        <v>58</v>
      </c>
      <c r="J334" s="3" t="s">
        <v>60</v>
      </c>
      <c r="K334" s="2" t="s">
        <v>4375</v>
      </c>
      <c r="L334" s="2" t="s">
        <v>1286</v>
      </c>
      <c r="M334" s="3" t="s">
        <v>365</v>
      </c>
      <c r="O334" s="3" t="s">
        <v>64</v>
      </c>
      <c r="P334" s="3" t="s">
        <v>99</v>
      </c>
      <c r="Q334" s="2" t="s">
        <v>4376</v>
      </c>
      <c r="R334" s="3" t="s">
        <v>66</v>
      </c>
      <c r="S334" s="4">
        <v>26</v>
      </c>
      <c r="T334" s="4">
        <v>26</v>
      </c>
      <c r="U334" s="5" t="s">
        <v>4377</v>
      </c>
      <c r="V334" s="5" t="s">
        <v>4377</v>
      </c>
      <c r="W334" s="5" t="s">
        <v>4378</v>
      </c>
      <c r="X334" s="5" t="s">
        <v>4378</v>
      </c>
      <c r="Y334" s="4">
        <v>472</v>
      </c>
      <c r="Z334" s="4">
        <v>397</v>
      </c>
      <c r="AA334" s="4">
        <v>400</v>
      </c>
      <c r="AB334" s="4">
        <v>4</v>
      </c>
      <c r="AC334" s="4">
        <v>4</v>
      </c>
      <c r="AD334" s="4">
        <v>13</v>
      </c>
      <c r="AE334" s="4">
        <v>13</v>
      </c>
      <c r="AF334" s="4">
        <v>6</v>
      </c>
      <c r="AG334" s="4">
        <v>6</v>
      </c>
      <c r="AH334" s="4">
        <v>2</v>
      </c>
      <c r="AI334" s="4">
        <v>2</v>
      </c>
      <c r="AJ334" s="4">
        <v>5</v>
      </c>
      <c r="AK334" s="4">
        <v>5</v>
      </c>
      <c r="AL334" s="4">
        <v>3</v>
      </c>
      <c r="AM334" s="4">
        <v>3</v>
      </c>
      <c r="AN334" s="4">
        <v>0</v>
      </c>
      <c r="AO334" s="4">
        <v>0</v>
      </c>
      <c r="AP334" s="3" t="s">
        <v>58</v>
      </c>
      <c r="AQ334" s="3" t="s">
        <v>68</v>
      </c>
      <c r="AR334" s="6" t="str">
        <f>HYPERLINK("http://catalog.hathitrust.org/Record/000868290","HathiTrust Record")</f>
        <v>HathiTrust Record</v>
      </c>
      <c r="AS334" s="6" t="str">
        <f>HYPERLINK("https://creighton-primo.hosted.exlibrisgroup.com/primo-explore/search?tab=default_tab&amp;search_scope=EVERYTHING&amp;vid=01CRU&amp;lang=en_US&amp;offset=0&amp;query=any,contains,991000528299702656","Catalog Record")</f>
        <v>Catalog Record</v>
      </c>
      <c r="AT334" s="6" t="str">
        <f>HYPERLINK("http://www.worldcat.org/oclc/89259","WorldCat Record")</f>
        <v>WorldCat Record</v>
      </c>
      <c r="AU334" s="3" t="s">
        <v>4379</v>
      </c>
      <c r="AV334" s="3" t="s">
        <v>4380</v>
      </c>
      <c r="AW334" s="3" t="s">
        <v>4381</v>
      </c>
      <c r="AX334" s="3" t="s">
        <v>4381</v>
      </c>
      <c r="AY334" s="3" t="s">
        <v>4382</v>
      </c>
      <c r="AZ334" s="3" t="s">
        <v>73</v>
      </c>
      <c r="BC334" s="3" t="s">
        <v>4383</v>
      </c>
      <c r="BD334" s="3" t="s">
        <v>4384</v>
      </c>
    </row>
    <row r="335" spans="1:56" ht="45" customHeight="1" x14ac:dyDescent="0.25">
      <c r="A335" s="8" t="s">
        <v>58</v>
      </c>
      <c r="B335" s="2" t="s">
        <v>4385</v>
      </c>
      <c r="C335" s="2" t="s">
        <v>4386</v>
      </c>
      <c r="D335" s="2" t="s">
        <v>4387</v>
      </c>
      <c r="F335" s="3" t="s">
        <v>58</v>
      </c>
      <c r="G335" s="3" t="s">
        <v>59</v>
      </c>
      <c r="H335" s="3" t="s">
        <v>58</v>
      </c>
      <c r="I335" s="3" t="s">
        <v>58</v>
      </c>
      <c r="J335" s="3" t="s">
        <v>60</v>
      </c>
      <c r="K335" s="2" t="s">
        <v>4388</v>
      </c>
      <c r="L335" s="2" t="s">
        <v>4389</v>
      </c>
      <c r="M335" s="3" t="s">
        <v>407</v>
      </c>
      <c r="O335" s="3" t="s">
        <v>64</v>
      </c>
      <c r="P335" s="3" t="s">
        <v>177</v>
      </c>
      <c r="R335" s="3" t="s">
        <v>66</v>
      </c>
      <c r="S335" s="4">
        <v>25</v>
      </c>
      <c r="T335" s="4">
        <v>25</v>
      </c>
      <c r="U335" s="5" t="s">
        <v>4390</v>
      </c>
      <c r="V335" s="5" t="s">
        <v>4390</v>
      </c>
      <c r="W335" s="5" t="s">
        <v>4391</v>
      </c>
      <c r="X335" s="5" t="s">
        <v>4391</v>
      </c>
      <c r="Y335" s="4">
        <v>794</v>
      </c>
      <c r="Z335" s="4">
        <v>671</v>
      </c>
      <c r="AA335" s="4">
        <v>683</v>
      </c>
      <c r="AB335" s="4">
        <v>6</v>
      </c>
      <c r="AC335" s="4">
        <v>6</v>
      </c>
      <c r="AD335" s="4">
        <v>26</v>
      </c>
      <c r="AE335" s="4">
        <v>26</v>
      </c>
      <c r="AF335" s="4">
        <v>13</v>
      </c>
      <c r="AG335" s="4">
        <v>13</v>
      </c>
      <c r="AH335" s="4">
        <v>4</v>
      </c>
      <c r="AI335" s="4">
        <v>4</v>
      </c>
      <c r="AJ335" s="4">
        <v>12</v>
      </c>
      <c r="AK335" s="4">
        <v>12</v>
      </c>
      <c r="AL335" s="4">
        <v>4</v>
      </c>
      <c r="AM335" s="4">
        <v>4</v>
      </c>
      <c r="AN335" s="4">
        <v>0</v>
      </c>
      <c r="AO335" s="4">
        <v>0</v>
      </c>
      <c r="AP335" s="3" t="s">
        <v>58</v>
      </c>
      <c r="AQ335" s="3" t="s">
        <v>68</v>
      </c>
      <c r="AR335" s="6" t="str">
        <f>HYPERLINK("http://catalog.hathitrust.org/Record/000722259","HathiTrust Record")</f>
        <v>HathiTrust Record</v>
      </c>
      <c r="AS335" s="6" t="str">
        <f>HYPERLINK("https://creighton-primo.hosted.exlibrisgroup.com/primo-explore/search?tab=default_tab&amp;search_scope=EVERYTHING&amp;vid=01CRU&amp;lang=en_US&amp;offset=0&amp;query=any,contains,991004008459702656","Catalog Record")</f>
        <v>Catalog Record</v>
      </c>
      <c r="AT335" s="6" t="str">
        <f>HYPERLINK("http://www.worldcat.org/oclc/2089468","WorldCat Record")</f>
        <v>WorldCat Record</v>
      </c>
      <c r="AU335" s="3" t="s">
        <v>4392</v>
      </c>
      <c r="AV335" s="3" t="s">
        <v>4393</v>
      </c>
      <c r="AW335" s="3" t="s">
        <v>4394</v>
      </c>
      <c r="AX335" s="3" t="s">
        <v>4394</v>
      </c>
      <c r="AY335" s="3" t="s">
        <v>4395</v>
      </c>
      <c r="AZ335" s="3" t="s">
        <v>73</v>
      </c>
      <c r="BB335" s="3" t="s">
        <v>4396</v>
      </c>
      <c r="BC335" s="3" t="s">
        <v>4397</v>
      </c>
      <c r="BD335" s="3" t="s">
        <v>4398</v>
      </c>
    </row>
    <row r="336" spans="1:56" ht="45" customHeight="1" x14ac:dyDescent="0.25">
      <c r="A336" s="8" t="s">
        <v>58</v>
      </c>
      <c r="B336" s="2" t="s">
        <v>4399</v>
      </c>
      <c r="C336" s="2" t="s">
        <v>4400</v>
      </c>
      <c r="D336" s="2" t="s">
        <v>4401</v>
      </c>
      <c r="F336" s="3" t="s">
        <v>58</v>
      </c>
      <c r="G336" s="3" t="s">
        <v>59</v>
      </c>
      <c r="H336" s="3" t="s">
        <v>58</v>
      </c>
      <c r="I336" s="3" t="s">
        <v>58</v>
      </c>
      <c r="J336" s="3" t="s">
        <v>60</v>
      </c>
      <c r="K336" s="2" t="s">
        <v>4402</v>
      </c>
      <c r="L336" s="2" t="s">
        <v>4403</v>
      </c>
      <c r="M336" s="3" t="s">
        <v>176</v>
      </c>
      <c r="N336" s="2" t="s">
        <v>63</v>
      </c>
      <c r="O336" s="3" t="s">
        <v>64</v>
      </c>
      <c r="P336" s="3" t="s">
        <v>177</v>
      </c>
      <c r="R336" s="3" t="s">
        <v>66</v>
      </c>
      <c r="S336" s="4">
        <v>23</v>
      </c>
      <c r="T336" s="4">
        <v>23</v>
      </c>
      <c r="U336" s="5" t="s">
        <v>4404</v>
      </c>
      <c r="V336" s="5" t="s">
        <v>4404</v>
      </c>
      <c r="W336" s="5" t="s">
        <v>4405</v>
      </c>
      <c r="X336" s="5" t="s">
        <v>4405</v>
      </c>
      <c r="Y336" s="4">
        <v>739</v>
      </c>
      <c r="Z336" s="4">
        <v>696</v>
      </c>
      <c r="AA336" s="4">
        <v>996</v>
      </c>
      <c r="AB336" s="4">
        <v>7</v>
      </c>
      <c r="AC336" s="4">
        <v>9</v>
      </c>
      <c r="AD336" s="4">
        <v>10</v>
      </c>
      <c r="AE336" s="4">
        <v>19</v>
      </c>
      <c r="AF336" s="4">
        <v>2</v>
      </c>
      <c r="AG336" s="4">
        <v>6</v>
      </c>
      <c r="AH336" s="4">
        <v>1</v>
      </c>
      <c r="AI336" s="4">
        <v>3</v>
      </c>
      <c r="AJ336" s="4">
        <v>7</v>
      </c>
      <c r="AK336" s="4">
        <v>8</v>
      </c>
      <c r="AL336" s="4">
        <v>3</v>
      </c>
      <c r="AM336" s="4">
        <v>5</v>
      </c>
      <c r="AN336" s="4">
        <v>0</v>
      </c>
      <c r="AO336" s="4">
        <v>0</v>
      </c>
      <c r="AP336" s="3" t="s">
        <v>58</v>
      </c>
      <c r="AQ336" s="3" t="s">
        <v>68</v>
      </c>
      <c r="AR336" s="6" t="str">
        <f>HYPERLINK("http://catalog.hathitrust.org/Record/002729946","HathiTrust Record")</f>
        <v>HathiTrust Record</v>
      </c>
      <c r="AS336" s="6" t="str">
        <f>HYPERLINK("https://creighton-primo.hosted.exlibrisgroup.com/primo-explore/search?tab=default_tab&amp;search_scope=EVERYTHING&amp;vid=01CRU&amp;lang=en_US&amp;offset=0&amp;query=any,contains,991002077159702656","Catalog Record")</f>
        <v>Catalog Record</v>
      </c>
      <c r="AT336" s="6" t="str">
        <f>HYPERLINK("http://www.worldcat.org/oclc/26633221","WorldCat Record")</f>
        <v>WorldCat Record</v>
      </c>
      <c r="AU336" s="3" t="s">
        <v>4406</v>
      </c>
      <c r="AV336" s="3" t="s">
        <v>4407</v>
      </c>
      <c r="AW336" s="3" t="s">
        <v>4408</v>
      </c>
      <c r="AX336" s="3" t="s">
        <v>4408</v>
      </c>
      <c r="AY336" s="3" t="s">
        <v>4409</v>
      </c>
      <c r="AZ336" s="3" t="s">
        <v>73</v>
      </c>
      <c r="BB336" s="3" t="s">
        <v>4410</v>
      </c>
      <c r="BC336" s="3" t="s">
        <v>4411</v>
      </c>
      <c r="BD336" s="3" t="s">
        <v>4412</v>
      </c>
    </row>
    <row r="337" spans="1:56" ht="45" customHeight="1" x14ac:dyDescent="0.25">
      <c r="A337" s="8" t="s">
        <v>58</v>
      </c>
      <c r="B337" s="2" t="s">
        <v>4413</v>
      </c>
      <c r="C337" s="2" t="s">
        <v>4414</v>
      </c>
      <c r="D337" s="2" t="s">
        <v>4415</v>
      </c>
      <c r="F337" s="3" t="s">
        <v>58</v>
      </c>
      <c r="G337" s="3" t="s">
        <v>59</v>
      </c>
      <c r="H337" s="3" t="s">
        <v>58</v>
      </c>
      <c r="I337" s="3" t="s">
        <v>58</v>
      </c>
      <c r="J337" s="3" t="s">
        <v>60</v>
      </c>
      <c r="K337" s="2" t="s">
        <v>4416</v>
      </c>
      <c r="L337" s="2" t="s">
        <v>4417</v>
      </c>
      <c r="M337" s="3" t="s">
        <v>291</v>
      </c>
      <c r="O337" s="3" t="s">
        <v>64</v>
      </c>
      <c r="P337" s="3" t="s">
        <v>4418</v>
      </c>
      <c r="R337" s="3" t="s">
        <v>66</v>
      </c>
      <c r="S337" s="4">
        <v>21</v>
      </c>
      <c r="T337" s="4">
        <v>21</v>
      </c>
      <c r="U337" s="5" t="s">
        <v>4419</v>
      </c>
      <c r="V337" s="5" t="s">
        <v>4419</v>
      </c>
      <c r="W337" s="5" t="s">
        <v>2002</v>
      </c>
      <c r="X337" s="5" t="s">
        <v>2002</v>
      </c>
      <c r="Y337" s="4">
        <v>312</v>
      </c>
      <c r="Z337" s="4">
        <v>277</v>
      </c>
      <c r="AA337" s="4">
        <v>277</v>
      </c>
      <c r="AB337" s="4">
        <v>2</v>
      </c>
      <c r="AC337" s="4">
        <v>2</v>
      </c>
      <c r="AD337" s="4">
        <v>6</v>
      </c>
      <c r="AE337" s="4">
        <v>6</v>
      </c>
      <c r="AF337" s="4">
        <v>1</v>
      </c>
      <c r="AG337" s="4">
        <v>1</v>
      </c>
      <c r="AH337" s="4">
        <v>1</v>
      </c>
      <c r="AI337" s="4">
        <v>1</v>
      </c>
      <c r="AJ337" s="4">
        <v>3</v>
      </c>
      <c r="AK337" s="4">
        <v>3</v>
      </c>
      <c r="AL337" s="4">
        <v>1</v>
      </c>
      <c r="AM337" s="4">
        <v>1</v>
      </c>
      <c r="AN337" s="4">
        <v>0</v>
      </c>
      <c r="AO337" s="4">
        <v>0</v>
      </c>
      <c r="AP337" s="3" t="s">
        <v>58</v>
      </c>
      <c r="AQ337" s="3" t="s">
        <v>58</v>
      </c>
      <c r="AS337" s="6" t="str">
        <f>HYPERLINK("https://creighton-primo.hosted.exlibrisgroup.com/primo-explore/search?tab=default_tab&amp;search_scope=EVERYTHING&amp;vid=01CRU&amp;lang=en_US&amp;offset=0&amp;query=any,contains,991005085559702656","Catalog Record")</f>
        <v>Catalog Record</v>
      </c>
      <c r="AT337" s="6" t="str">
        <f>HYPERLINK("http://www.worldcat.org/oclc/7196310","WorldCat Record")</f>
        <v>WorldCat Record</v>
      </c>
      <c r="AU337" s="3" t="s">
        <v>4420</v>
      </c>
      <c r="AV337" s="3" t="s">
        <v>4421</v>
      </c>
      <c r="AW337" s="3" t="s">
        <v>4422</v>
      </c>
      <c r="AX337" s="3" t="s">
        <v>4422</v>
      </c>
      <c r="AY337" s="3" t="s">
        <v>4423</v>
      </c>
      <c r="AZ337" s="3" t="s">
        <v>73</v>
      </c>
      <c r="BB337" s="3" t="s">
        <v>4424</v>
      </c>
      <c r="BC337" s="3" t="s">
        <v>4425</v>
      </c>
      <c r="BD337" s="3" t="s">
        <v>4426</v>
      </c>
    </row>
    <row r="338" spans="1:56" ht="45" customHeight="1" x14ac:dyDescent="0.25">
      <c r="A338" s="8" t="s">
        <v>58</v>
      </c>
      <c r="B338" s="2" t="s">
        <v>4427</v>
      </c>
      <c r="C338" s="2" t="s">
        <v>4428</v>
      </c>
      <c r="D338" s="2" t="s">
        <v>4429</v>
      </c>
      <c r="F338" s="3" t="s">
        <v>58</v>
      </c>
      <c r="G338" s="3" t="s">
        <v>59</v>
      </c>
      <c r="H338" s="3" t="s">
        <v>58</v>
      </c>
      <c r="I338" s="3" t="s">
        <v>58</v>
      </c>
      <c r="J338" s="3" t="s">
        <v>60</v>
      </c>
      <c r="K338" s="2" t="s">
        <v>4430</v>
      </c>
      <c r="L338" s="2" t="s">
        <v>4431</v>
      </c>
      <c r="M338" s="3" t="s">
        <v>378</v>
      </c>
      <c r="O338" s="3" t="s">
        <v>64</v>
      </c>
      <c r="P338" s="3" t="s">
        <v>250</v>
      </c>
      <c r="R338" s="3" t="s">
        <v>66</v>
      </c>
      <c r="S338" s="4">
        <v>32</v>
      </c>
      <c r="T338" s="4">
        <v>32</v>
      </c>
      <c r="U338" s="5" t="s">
        <v>4432</v>
      </c>
      <c r="V338" s="5" t="s">
        <v>4432</v>
      </c>
      <c r="W338" s="5" t="s">
        <v>4433</v>
      </c>
      <c r="X338" s="5" t="s">
        <v>4433</v>
      </c>
      <c r="Y338" s="4">
        <v>208</v>
      </c>
      <c r="Z338" s="4">
        <v>171</v>
      </c>
      <c r="AA338" s="4">
        <v>180</v>
      </c>
      <c r="AB338" s="4">
        <v>2</v>
      </c>
      <c r="AC338" s="4">
        <v>2</v>
      </c>
      <c r="AD338" s="4">
        <v>6</v>
      </c>
      <c r="AE338" s="4">
        <v>6</v>
      </c>
      <c r="AF338" s="4">
        <v>2</v>
      </c>
      <c r="AG338" s="4">
        <v>2</v>
      </c>
      <c r="AH338" s="4">
        <v>2</v>
      </c>
      <c r="AI338" s="4">
        <v>2</v>
      </c>
      <c r="AJ338" s="4">
        <v>3</v>
      </c>
      <c r="AK338" s="4">
        <v>3</v>
      </c>
      <c r="AL338" s="4">
        <v>1</v>
      </c>
      <c r="AM338" s="4">
        <v>1</v>
      </c>
      <c r="AN338" s="4">
        <v>0</v>
      </c>
      <c r="AO338" s="4">
        <v>0</v>
      </c>
      <c r="AP338" s="3" t="s">
        <v>58</v>
      </c>
      <c r="AQ338" s="3" t="s">
        <v>68</v>
      </c>
      <c r="AR338" s="6" t="str">
        <f>HYPERLINK("http://catalog.hathitrust.org/Record/000288356","HathiTrust Record")</f>
        <v>HathiTrust Record</v>
      </c>
      <c r="AS338" s="6" t="str">
        <f>HYPERLINK("https://creighton-primo.hosted.exlibrisgroup.com/primo-explore/search?tab=default_tab&amp;search_scope=EVERYTHING&amp;vid=01CRU&amp;lang=en_US&amp;offset=0&amp;query=any,contains,991000551729702656","Catalog Record")</f>
        <v>Catalog Record</v>
      </c>
      <c r="AT338" s="6" t="str">
        <f>HYPERLINK("http://www.worldcat.org/oclc/11533654","WorldCat Record")</f>
        <v>WorldCat Record</v>
      </c>
      <c r="AU338" s="3" t="s">
        <v>4434</v>
      </c>
      <c r="AV338" s="3" t="s">
        <v>4435</v>
      </c>
      <c r="AW338" s="3" t="s">
        <v>4436</v>
      </c>
      <c r="AX338" s="3" t="s">
        <v>4436</v>
      </c>
      <c r="AY338" s="3" t="s">
        <v>4437</v>
      </c>
      <c r="AZ338" s="3" t="s">
        <v>73</v>
      </c>
      <c r="BB338" s="3" t="s">
        <v>4438</v>
      </c>
      <c r="BC338" s="3" t="s">
        <v>4439</v>
      </c>
      <c r="BD338" s="3" t="s">
        <v>4440</v>
      </c>
    </row>
    <row r="339" spans="1:56" ht="45" customHeight="1" x14ac:dyDescent="0.25">
      <c r="A339" s="8" t="s">
        <v>58</v>
      </c>
      <c r="B339" s="2" t="s">
        <v>4441</v>
      </c>
      <c r="C339" s="2" t="s">
        <v>4442</v>
      </c>
      <c r="D339" s="2" t="s">
        <v>4443</v>
      </c>
      <c r="F339" s="3" t="s">
        <v>58</v>
      </c>
      <c r="G339" s="3" t="s">
        <v>59</v>
      </c>
      <c r="H339" s="3" t="s">
        <v>68</v>
      </c>
      <c r="I339" s="3" t="s">
        <v>58</v>
      </c>
      <c r="J339" s="3" t="s">
        <v>60</v>
      </c>
      <c r="K339" s="2" t="s">
        <v>4444</v>
      </c>
      <c r="L339" s="2" t="s">
        <v>4445</v>
      </c>
      <c r="M339" s="3" t="s">
        <v>82</v>
      </c>
      <c r="N339" s="2" t="s">
        <v>63</v>
      </c>
      <c r="O339" s="3" t="s">
        <v>64</v>
      </c>
      <c r="P339" s="3" t="s">
        <v>177</v>
      </c>
      <c r="R339" s="3" t="s">
        <v>66</v>
      </c>
      <c r="S339" s="4">
        <v>39</v>
      </c>
      <c r="T339" s="4">
        <v>39</v>
      </c>
      <c r="U339" s="5" t="s">
        <v>4377</v>
      </c>
      <c r="V339" s="5" t="s">
        <v>4377</v>
      </c>
      <c r="W339" s="5" t="s">
        <v>4446</v>
      </c>
      <c r="X339" s="5" t="s">
        <v>4446</v>
      </c>
      <c r="Y339" s="4">
        <v>545</v>
      </c>
      <c r="Z339" s="4">
        <v>480</v>
      </c>
      <c r="AA339" s="4">
        <v>519</v>
      </c>
      <c r="AB339" s="4">
        <v>7</v>
      </c>
      <c r="AC339" s="4">
        <v>8</v>
      </c>
      <c r="AD339" s="4">
        <v>11</v>
      </c>
      <c r="AE339" s="4">
        <v>13</v>
      </c>
      <c r="AF339" s="4">
        <v>3</v>
      </c>
      <c r="AG339" s="4">
        <v>3</v>
      </c>
      <c r="AH339" s="4">
        <v>2</v>
      </c>
      <c r="AI339" s="4">
        <v>2</v>
      </c>
      <c r="AJ339" s="4">
        <v>4</v>
      </c>
      <c r="AK339" s="4">
        <v>5</v>
      </c>
      <c r="AL339" s="4">
        <v>3</v>
      </c>
      <c r="AM339" s="4">
        <v>4</v>
      </c>
      <c r="AN339" s="4">
        <v>0</v>
      </c>
      <c r="AO339" s="4">
        <v>0</v>
      </c>
      <c r="AP339" s="3" t="s">
        <v>58</v>
      </c>
      <c r="AQ339" s="3" t="s">
        <v>68</v>
      </c>
      <c r="AR339" s="6" t="str">
        <f>HYPERLINK("http://catalog.hathitrust.org/Record/000718998","HathiTrust Record")</f>
        <v>HathiTrust Record</v>
      </c>
      <c r="AS339" s="6" t="str">
        <f>HYPERLINK("https://creighton-primo.hosted.exlibrisgroup.com/primo-explore/search?tab=default_tab&amp;search_scope=EVERYTHING&amp;vid=01CRU&amp;lang=en_US&amp;offset=0&amp;query=any,contains,991004678219702656","Catalog Record")</f>
        <v>Catalog Record</v>
      </c>
      <c r="AT339" s="6" t="str">
        <f>HYPERLINK("http://www.worldcat.org/oclc/4549626","WorldCat Record")</f>
        <v>WorldCat Record</v>
      </c>
      <c r="AU339" s="3" t="s">
        <v>4447</v>
      </c>
      <c r="AV339" s="3" t="s">
        <v>4448</v>
      </c>
      <c r="AW339" s="3" t="s">
        <v>4449</v>
      </c>
      <c r="AX339" s="3" t="s">
        <v>4449</v>
      </c>
      <c r="AY339" s="3" t="s">
        <v>4450</v>
      </c>
      <c r="AZ339" s="3" t="s">
        <v>73</v>
      </c>
      <c r="BB339" s="3" t="s">
        <v>4451</v>
      </c>
      <c r="BC339" s="3" t="s">
        <v>4452</v>
      </c>
      <c r="BD339" s="3" t="s">
        <v>4453</v>
      </c>
    </row>
    <row r="340" spans="1:56" ht="45" customHeight="1" x14ac:dyDescent="0.25">
      <c r="A340" s="8" t="s">
        <v>58</v>
      </c>
      <c r="B340" s="2" t="s">
        <v>4454</v>
      </c>
      <c r="C340" s="2" t="s">
        <v>4455</v>
      </c>
      <c r="D340" s="2" t="s">
        <v>4456</v>
      </c>
      <c r="F340" s="3" t="s">
        <v>58</v>
      </c>
      <c r="G340" s="3" t="s">
        <v>59</v>
      </c>
      <c r="H340" s="3" t="s">
        <v>58</v>
      </c>
      <c r="I340" s="3" t="s">
        <v>58</v>
      </c>
      <c r="J340" s="3" t="s">
        <v>60</v>
      </c>
      <c r="K340" s="2" t="s">
        <v>4457</v>
      </c>
      <c r="L340" s="2" t="s">
        <v>860</v>
      </c>
      <c r="M340" s="3" t="s">
        <v>762</v>
      </c>
      <c r="O340" s="3" t="s">
        <v>64</v>
      </c>
      <c r="P340" s="3" t="s">
        <v>2825</v>
      </c>
      <c r="R340" s="3" t="s">
        <v>66</v>
      </c>
      <c r="S340" s="4">
        <v>10</v>
      </c>
      <c r="T340" s="4">
        <v>10</v>
      </c>
      <c r="U340" s="5" t="s">
        <v>4458</v>
      </c>
      <c r="V340" s="5" t="s">
        <v>4458</v>
      </c>
      <c r="W340" s="5" t="s">
        <v>3376</v>
      </c>
      <c r="X340" s="5" t="s">
        <v>3376</v>
      </c>
      <c r="Y340" s="4">
        <v>172</v>
      </c>
      <c r="Z340" s="4">
        <v>165</v>
      </c>
      <c r="AA340" s="4">
        <v>166</v>
      </c>
      <c r="AB340" s="4">
        <v>3</v>
      </c>
      <c r="AC340" s="4">
        <v>3</v>
      </c>
      <c r="AD340" s="4">
        <v>10</v>
      </c>
      <c r="AE340" s="4">
        <v>10</v>
      </c>
      <c r="AF340" s="4">
        <v>6</v>
      </c>
      <c r="AG340" s="4">
        <v>6</v>
      </c>
      <c r="AH340" s="4">
        <v>2</v>
      </c>
      <c r="AI340" s="4">
        <v>2</v>
      </c>
      <c r="AJ340" s="4">
        <v>4</v>
      </c>
      <c r="AK340" s="4">
        <v>4</v>
      </c>
      <c r="AL340" s="4">
        <v>2</v>
      </c>
      <c r="AM340" s="4">
        <v>2</v>
      </c>
      <c r="AN340" s="4">
        <v>0</v>
      </c>
      <c r="AO340" s="4">
        <v>0</v>
      </c>
      <c r="AP340" s="3" t="s">
        <v>58</v>
      </c>
      <c r="AQ340" s="3" t="s">
        <v>58</v>
      </c>
      <c r="AS340" s="6" t="str">
        <f>HYPERLINK("https://creighton-primo.hosted.exlibrisgroup.com/primo-explore/search?tab=default_tab&amp;search_scope=EVERYTHING&amp;vid=01CRU&amp;lang=en_US&amp;offset=0&amp;query=any,contains,991003431379702656","Catalog Record")</f>
        <v>Catalog Record</v>
      </c>
      <c r="AT340" s="6" t="str">
        <f>HYPERLINK("http://www.worldcat.org/oclc/966005","WorldCat Record")</f>
        <v>WorldCat Record</v>
      </c>
      <c r="AU340" s="3" t="s">
        <v>4459</v>
      </c>
      <c r="AV340" s="3" t="s">
        <v>4460</v>
      </c>
      <c r="AW340" s="3" t="s">
        <v>4461</v>
      </c>
      <c r="AX340" s="3" t="s">
        <v>4461</v>
      </c>
      <c r="AY340" s="3" t="s">
        <v>4462</v>
      </c>
      <c r="AZ340" s="3" t="s">
        <v>73</v>
      </c>
      <c r="BC340" s="3" t="s">
        <v>4463</v>
      </c>
      <c r="BD340" s="3" t="s">
        <v>4464</v>
      </c>
    </row>
    <row r="341" spans="1:56" ht="45" customHeight="1" x14ac:dyDescent="0.25">
      <c r="A341" s="8" t="s">
        <v>58</v>
      </c>
      <c r="B341" s="2" t="s">
        <v>4465</v>
      </c>
      <c r="C341" s="2" t="s">
        <v>4466</v>
      </c>
      <c r="D341" s="2" t="s">
        <v>4467</v>
      </c>
      <c r="F341" s="3" t="s">
        <v>58</v>
      </c>
      <c r="G341" s="3" t="s">
        <v>59</v>
      </c>
      <c r="H341" s="3" t="s">
        <v>58</v>
      </c>
      <c r="I341" s="3" t="s">
        <v>58</v>
      </c>
      <c r="J341" s="3" t="s">
        <v>60</v>
      </c>
      <c r="L341" s="2" t="s">
        <v>4468</v>
      </c>
      <c r="M341" s="3" t="s">
        <v>378</v>
      </c>
      <c r="N341" s="2" t="s">
        <v>635</v>
      </c>
      <c r="O341" s="3" t="s">
        <v>64</v>
      </c>
      <c r="P341" s="3" t="s">
        <v>901</v>
      </c>
      <c r="Q341" s="2" t="s">
        <v>4144</v>
      </c>
      <c r="R341" s="3" t="s">
        <v>66</v>
      </c>
      <c r="S341" s="4">
        <v>2</v>
      </c>
      <c r="T341" s="4">
        <v>2</v>
      </c>
      <c r="U341" s="5" t="s">
        <v>4288</v>
      </c>
      <c r="V341" s="5" t="s">
        <v>4288</v>
      </c>
      <c r="W341" s="5" t="s">
        <v>4469</v>
      </c>
      <c r="X341" s="5" t="s">
        <v>4469</v>
      </c>
      <c r="Y341" s="4">
        <v>75</v>
      </c>
      <c r="Z341" s="4">
        <v>74</v>
      </c>
      <c r="AA341" s="4">
        <v>74</v>
      </c>
      <c r="AB341" s="4">
        <v>2</v>
      </c>
      <c r="AC341" s="4">
        <v>2</v>
      </c>
      <c r="AD341" s="4">
        <v>2</v>
      </c>
      <c r="AE341" s="4">
        <v>2</v>
      </c>
      <c r="AF341" s="4">
        <v>0</v>
      </c>
      <c r="AG341" s="4">
        <v>0</v>
      </c>
      <c r="AH341" s="4">
        <v>0</v>
      </c>
      <c r="AI341" s="4">
        <v>0</v>
      </c>
      <c r="AJ341" s="4">
        <v>1</v>
      </c>
      <c r="AK341" s="4">
        <v>1</v>
      </c>
      <c r="AL341" s="4">
        <v>1</v>
      </c>
      <c r="AM341" s="4">
        <v>1</v>
      </c>
      <c r="AN341" s="4">
        <v>0</v>
      </c>
      <c r="AO341" s="4">
        <v>0</v>
      </c>
      <c r="AP341" s="3" t="s">
        <v>58</v>
      </c>
      <c r="AQ341" s="3" t="s">
        <v>58</v>
      </c>
      <c r="AS341" s="6" t="str">
        <f>HYPERLINK("https://creighton-primo.hosted.exlibrisgroup.com/primo-explore/search?tab=default_tab&amp;search_scope=EVERYTHING&amp;vid=01CRU&amp;lang=en_US&amp;offset=0&amp;query=any,contains,991004105009702656","Catalog Record")</f>
        <v>Catalog Record</v>
      </c>
      <c r="AT341" s="6" t="str">
        <f>HYPERLINK("http://www.worldcat.org/oclc/11527383","WorldCat Record")</f>
        <v>WorldCat Record</v>
      </c>
      <c r="AU341" s="3" t="s">
        <v>4470</v>
      </c>
      <c r="AV341" s="3" t="s">
        <v>4471</v>
      </c>
      <c r="AW341" s="3" t="s">
        <v>4472</v>
      </c>
      <c r="AX341" s="3" t="s">
        <v>4472</v>
      </c>
      <c r="AY341" s="3" t="s">
        <v>4473</v>
      </c>
      <c r="AZ341" s="3" t="s">
        <v>73</v>
      </c>
      <c r="BB341" s="3" t="s">
        <v>4474</v>
      </c>
      <c r="BC341" s="3" t="s">
        <v>4475</v>
      </c>
      <c r="BD341" s="3" t="s">
        <v>4476</v>
      </c>
    </row>
    <row r="342" spans="1:56" ht="45" customHeight="1" x14ac:dyDescent="0.25">
      <c r="A342" s="8" t="s">
        <v>58</v>
      </c>
      <c r="B342" s="2" t="s">
        <v>4477</v>
      </c>
      <c r="C342" s="2" t="s">
        <v>4478</v>
      </c>
      <c r="D342" s="2" t="s">
        <v>4479</v>
      </c>
      <c r="F342" s="3" t="s">
        <v>58</v>
      </c>
      <c r="G342" s="3" t="s">
        <v>59</v>
      </c>
      <c r="H342" s="3" t="s">
        <v>58</v>
      </c>
      <c r="I342" s="3" t="s">
        <v>58</v>
      </c>
      <c r="J342" s="3" t="s">
        <v>60</v>
      </c>
      <c r="K342" s="2" t="s">
        <v>4480</v>
      </c>
      <c r="L342" s="2" t="s">
        <v>4481</v>
      </c>
      <c r="M342" s="3" t="s">
        <v>291</v>
      </c>
      <c r="O342" s="3" t="s">
        <v>64</v>
      </c>
      <c r="P342" s="3" t="s">
        <v>4338</v>
      </c>
      <c r="R342" s="3" t="s">
        <v>66</v>
      </c>
      <c r="S342" s="4">
        <v>5</v>
      </c>
      <c r="T342" s="4">
        <v>5</v>
      </c>
      <c r="U342" s="5" t="s">
        <v>4288</v>
      </c>
      <c r="V342" s="5" t="s">
        <v>4288</v>
      </c>
      <c r="W342" s="5" t="s">
        <v>2995</v>
      </c>
      <c r="X342" s="5" t="s">
        <v>2995</v>
      </c>
      <c r="Y342" s="4">
        <v>90</v>
      </c>
      <c r="Z342" s="4">
        <v>68</v>
      </c>
      <c r="AA342" s="4">
        <v>107</v>
      </c>
      <c r="AB342" s="4">
        <v>2</v>
      </c>
      <c r="AC342" s="4">
        <v>3</v>
      </c>
      <c r="AD342" s="4">
        <v>2</v>
      </c>
      <c r="AE342" s="4">
        <v>4</v>
      </c>
      <c r="AF342" s="4">
        <v>1</v>
      </c>
      <c r="AG342" s="4">
        <v>1</v>
      </c>
      <c r="AH342" s="4">
        <v>0</v>
      </c>
      <c r="AI342" s="4">
        <v>0</v>
      </c>
      <c r="AJ342" s="4">
        <v>0</v>
      </c>
      <c r="AK342" s="4">
        <v>1</v>
      </c>
      <c r="AL342" s="4">
        <v>1</v>
      </c>
      <c r="AM342" s="4">
        <v>2</v>
      </c>
      <c r="AN342" s="4">
        <v>0</v>
      </c>
      <c r="AO342" s="4">
        <v>0</v>
      </c>
      <c r="AP342" s="3" t="s">
        <v>58</v>
      </c>
      <c r="AQ342" s="3" t="s">
        <v>58</v>
      </c>
      <c r="AS342" s="6" t="str">
        <f>HYPERLINK("https://creighton-primo.hosted.exlibrisgroup.com/primo-explore/search?tab=default_tab&amp;search_scope=EVERYTHING&amp;vid=01CRU&amp;lang=en_US&amp;offset=0&amp;query=any,contains,991005165119702656","Catalog Record")</f>
        <v>Catalog Record</v>
      </c>
      <c r="AT342" s="6" t="str">
        <f>HYPERLINK("http://www.worldcat.org/oclc/7823146","WorldCat Record")</f>
        <v>WorldCat Record</v>
      </c>
      <c r="AU342" s="3" t="s">
        <v>4482</v>
      </c>
      <c r="AV342" s="3" t="s">
        <v>4483</v>
      </c>
      <c r="AW342" s="3" t="s">
        <v>4484</v>
      </c>
      <c r="AX342" s="3" t="s">
        <v>4484</v>
      </c>
      <c r="AY342" s="3" t="s">
        <v>4485</v>
      </c>
      <c r="AZ342" s="3" t="s">
        <v>73</v>
      </c>
      <c r="BB342" s="3" t="s">
        <v>4486</v>
      </c>
      <c r="BC342" s="3" t="s">
        <v>4487</v>
      </c>
      <c r="BD342" s="3" t="s">
        <v>4488</v>
      </c>
    </row>
    <row r="343" spans="1:56" ht="45" customHeight="1" x14ac:dyDescent="0.25">
      <c r="A343" s="8" t="s">
        <v>58</v>
      </c>
      <c r="B343" s="2" t="s">
        <v>4489</v>
      </c>
      <c r="C343" s="2" t="s">
        <v>4490</v>
      </c>
      <c r="D343" s="2" t="s">
        <v>4491</v>
      </c>
      <c r="F343" s="3" t="s">
        <v>58</v>
      </c>
      <c r="G343" s="3" t="s">
        <v>59</v>
      </c>
      <c r="H343" s="3" t="s">
        <v>58</v>
      </c>
      <c r="I343" s="3" t="s">
        <v>58</v>
      </c>
      <c r="J343" s="3" t="s">
        <v>60</v>
      </c>
      <c r="K343" s="2" t="s">
        <v>4492</v>
      </c>
      <c r="L343" s="2" t="s">
        <v>4493</v>
      </c>
      <c r="M343" s="3" t="s">
        <v>580</v>
      </c>
      <c r="O343" s="3" t="s">
        <v>64</v>
      </c>
      <c r="P343" s="3" t="s">
        <v>65</v>
      </c>
      <c r="Q343" s="2" t="s">
        <v>4494</v>
      </c>
      <c r="R343" s="3" t="s">
        <v>66</v>
      </c>
      <c r="S343" s="4">
        <v>44</v>
      </c>
      <c r="T343" s="4">
        <v>44</v>
      </c>
      <c r="U343" s="5" t="s">
        <v>4495</v>
      </c>
      <c r="V343" s="5" t="s">
        <v>4495</v>
      </c>
      <c r="W343" s="5" t="s">
        <v>1717</v>
      </c>
      <c r="X343" s="5" t="s">
        <v>1717</v>
      </c>
      <c r="Y343" s="4">
        <v>334</v>
      </c>
      <c r="Z343" s="4">
        <v>251</v>
      </c>
      <c r="AA343" s="4">
        <v>278</v>
      </c>
      <c r="AB343" s="4">
        <v>3</v>
      </c>
      <c r="AC343" s="4">
        <v>3</v>
      </c>
      <c r="AD343" s="4">
        <v>12</v>
      </c>
      <c r="AE343" s="4">
        <v>12</v>
      </c>
      <c r="AF343" s="4">
        <v>4</v>
      </c>
      <c r="AG343" s="4">
        <v>4</v>
      </c>
      <c r="AH343" s="4">
        <v>2</v>
      </c>
      <c r="AI343" s="4">
        <v>2</v>
      </c>
      <c r="AJ343" s="4">
        <v>7</v>
      </c>
      <c r="AK343" s="4">
        <v>7</v>
      </c>
      <c r="AL343" s="4">
        <v>2</v>
      </c>
      <c r="AM343" s="4">
        <v>2</v>
      </c>
      <c r="AN343" s="4">
        <v>0</v>
      </c>
      <c r="AO343" s="4">
        <v>0</v>
      </c>
      <c r="AP343" s="3" t="s">
        <v>58</v>
      </c>
      <c r="AQ343" s="3" t="s">
        <v>68</v>
      </c>
      <c r="AR343" s="6" t="str">
        <f>HYPERLINK("http://catalog.hathitrust.org/Record/001079219","HathiTrust Record")</f>
        <v>HathiTrust Record</v>
      </c>
      <c r="AS343" s="6" t="str">
        <f>HYPERLINK("https://creighton-primo.hosted.exlibrisgroup.com/primo-explore/search?tab=default_tab&amp;search_scope=EVERYTHING&amp;vid=01CRU&amp;lang=en_US&amp;offset=0&amp;query=any,contains,991001215499702656","Catalog Record")</f>
        <v>Catalog Record</v>
      </c>
      <c r="AT343" s="6" t="str">
        <f>HYPERLINK("http://www.worldcat.org/oclc/17413678","WorldCat Record")</f>
        <v>WorldCat Record</v>
      </c>
      <c r="AU343" s="3" t="s">
        <v>4496</v>
      </c>
      <c r="AV343" s="3" t="s">
        <v>4497</v>
      </c>
      <c r="AW343" s="3" t="s">
        <v>4498</v>
      </c>
      <c r="AX343" s="3" t="s">
        <v>4498</v>
      </c>
      <c r="AY343" s="3" t="s">
        <v>4499</v>
      </c>
      <c r="AZ343" s="3" t="s">
        <v>73</v>
      </c>
      <c r="BB343" s="3" t="s">
        <v>4500</v>
      </c>
      <c r="BC343" s="3" t="s">
        <v>4501</v>
      </c>
      <c r="BD343" s="3" t="s">
        <v>4502</v>
      </c>
    </row>
    <row r="344" spans="1:56" ht="45" customHeight="1" x14ac:dyDescent="0.25">
      <c r="A344" s="8" t="s">
        <v>58</v>
      </c>
      <c r="B344" s="2" t="s">
        <v>4503</v>
      </c>
      <c r="C344" s="2" t="s">
        <v>4504</v>
      </c>
      <c r="D344" s="2" t="s">
        <v>4505</v>
      </c>
      <c r="F344" s="3" t="s">
        <v>58</v>
      </c>
      <c r="G344" s="3" t="s">
        <v>59</v>
      </c>
      <c r="H344" s="3" t="s">
        <v>58</v>
      </c>
      <c r="I344" s="3" t="s">
        <v>58</v>
      </c>
      <c r="J344" s="3" t="s">
        <v>60</v>
      </c>
      <c r="K344" s="2" t="s">
        <v>4506</v>
      </c>
      <c r="L344" s="2" t="s">
        <v>4507</v>
      </c>
      <c r="M344" s="3" t="s">
        <v>762</v>
      </c>
      <c r="O344" s="3" t="s">
        <v>64</v>
      </c>
      <c r="P344" s="3" t="s">
        <v>4508</v>
      </c>
      <c r="R344" s="3" t="s">
        <v>66</v>
      </c>
      <c r="S344" s="4">
        <v>17</v>
      </c>
      <c r="T344" s="4">
        <v>17</v>
      </c>
      <c r="U344" s="5" t="s">
        <v>4509</v>
      </c>
      <c r="V344" s="5" t="s">
        <v>4509</v>
      </c>
      <c r="W344" s="5" t="s">
        <v>4510</v>
      </c>
      <c r="X344" s="5" t="s">
        <v>4510</v>
      </c>
      <c r="Y344" s="4">
        <v>228</v>
      </c>
      <c r="Z344" s="4">
        <v>202</v>
      </c>
      <c r="AA344" s="4">
        <v>208</v>
      </c>
      <c r="AB344" s="4">
        <v>3</v>
      </c>
      <c r="AC344" s="4">
        <v>3</v>
      </c>
      <c r="AD344" s="4">
        <v>11</v>
      </c>
      <c r="AE344" s="4">
        <v>11</v>
      </c>
      <c r="AF344" s="4">
        <v>6</v>
      </c>
      <c r="AG344" s="4">
        <v>6</v>
      </c>
      <c r="AH344" s="4">
        <v>2</v>
      </c>
      <c r="AI344" s="4">
        <v>2</v>
      </c>
      <c r="AJ344" s="4">
        <v>3</v>
      </c>
      <c r="AK344" s="4">
        <v>3</v>
      </c>
      <c r="AL344" s="4">
        <v>2</v>
      </c>
      <c r="AM344" s="4">
        <v>2</v>
      </c>
      <c r="AN344" s="4">
        <v>0</v>
      </c>
      <c r="AO344" s="4">
        <v>0</v>
      </c>
      <c r="AP344" s="3" t="s">
        <v>58</v>
      </c>
      <c r="AQ344" s="3" t="s">
        <v>68</v>
      </c>
      <c r="AR344" s="6" t="str">
        <f>HYPERLINK("http://catalog.hathitrust.org/Record/000007822","HathiTrust Record")</f>
        <v>HathiTrust Record</v>
      </c>
      <c r="AS344" s="6" t="str">
        <f>HYPERLINK("https://creighton-primo.hosted.exlibrisgroup.com/primo-explore/search?tab=default_tab&amp;search_scope=EVERYTHING&amp;vid=01CRU&amp;lang=en_US&amp;offset=0&amp;query=any,contains,991003013659702656","Catalog Record")</f>
        <v>Catalog Record</v>
      </c>
      <c r="AT344" s="6" t="str">
        <f>HYPERLINK("http://www.worldcat.org/oclc/579368","WorldCat Record")</f>
        <v>WorldCat Record</v>
      </c>
      <c r="AU344" s="3" t="s">
        <v>4511</v>
      </c>
      <c r="AV344" s="3" t="s">
        <v>4512</v>
      </c>
      <c r="AW344" s="3" t="s">
        <v>4513</v>
      </c>
      <c r="AX344" s="3" t="s">
        <v>4513</v>
      </c>
      <c r="AY344" s="3" t="s">
        <v>4514</v>
      </c>
      <c r="AZ344" s="3" t="s">
        <v>73</v>
      </c>
      <c r="BC344" s="3" t="s">
        <v>4515</v>
      </c>
      <c r="BD344" s="3" t="s">
        <v>4516</v>
      </c>
    </row>
    <row r="345" spans="1:56" ht="45" customHeight="1" x14ac:dyDescent="0.25">
      <c r="A345" s="8" t="s">
        <v>58</v>
      </c>
      <c r="B345" s="2" t="s">
        <v>4517</v>
      </c>
      <c r="C345" s="2" t="s">
        <v>4518</v>
      </c>
      <c r="D345" s="2" t="s">
        <v>4519</v>
      </c>
      <c r="F345" s="3" t="s">
        <v>58</v>
      </c>
      <c r="G345" s="3" t="s">
        <v>59</v>
      </c>
      <c r="H345" s="3" t="s">
        <v>68</v>
      </c>
      <c r="I345" s="3" t="s">
        <v>58</v>
      </c>
      <c r="J345" s="3" t="s">
        <v>60</v>
      </c>
      <c r="L345" s="2" t="s">
        <v>4520</v>
      </c>
      <c r="M345" s="3" t="s">
        <v>129</v>
      </c>
      <c r="N345" s="2" t="s">
        <v>875</v>
      </c>
      <c r="O345" s="3" t="s">
        <v>64</v>
      </c>
      <c r="P345" s="3" t="s">
        <v>114</v>
      </c>
      <c r="Q345" s="2" t="s">
        <v>4521</v>
      </c>
      <c r="R345" s="3" t="s">
        <v>66</v>
      </c>
      <c r="S345" s="4">
        <v>16</v>
      </c>
      <c r="T345" s="4">
        <v>16</v>
      </c>
      <c r="U345" s="5" t="s">
        <v>4522</v>
      </c>
      <c r="V345" s="5" t="s">
        <v>4522</v>
      </c>
      <c r="W345" s="5" t="s">
        <v>2029</v>
      </c>
      <c r="X345" s="5" t="s">
        <v>2029</v>
      </c>
      <c r="Y345" s="4">
        <v>582</v>
      </c>
      <c r="Z345" s="4">
        <v>424</v>
      </c>
      <c r="AA345" s="4">
        <v>612</v>
      </c>
      <c r="AB345" s="4">
        <v>3</v>
      </c>
      <c r="AC345" s="4">
        <v>6</v>
      </c>
      <c r="AD345" s="4">
        <v>12</v>
      </c>
      <c r="AE345" s="4">
        <v>23</v>
      </c>
      <c r="AF345" s="4">
        <v>5</v>
      </c>
      <c r="AG345" s="4">
        <v>7</v>
      </c>
      <c r="AH345" s="4">
        <v>2</v>
      </c>
      <c r="AI345" s="4">
        <v>7</v>
      </c>
      <c r="AJ345" s="4">
        <v>8</v>
      </c>
      <c r="AK345" s="4">
        <v>11</v>
      </c>
      <c r="AL345" s="4">
        <v>1</v>
      </c>
      <c r="AM345" s="4">
        <v>4</v>
      </c>
      <c r="AN345" s="4">
        <v>0</v>
      </c>
      <c r="AO345" s="4">
        <v>0</v>
      </c>
      <c r="AP345" s="3" t="s">
        <v>58</v>
      </c>
      <c r="AQ345" s="3" t="s">
        <v>68</v>
      </c>
      <c r="AR345" s="6" t="str">
        <f>HYPERLINK("http://catalog.hathitrust.org/Record/000034579","HathiTrust Record")</f>
        <v>HathiTrust Record</v>
      </c>
      <c r="AS345" s="6" t="str">
        <f>HYPERLINK("https://creighton-primo.hosted.exlibrisgroup.com/primo-explore/search?tab=default_tab&amp;search_scope=EVERYTHING&amp;vid=01CRU&amp;lang=en_US&amp;offset=0&amp;query=any,contains,991003785129702656","Catalog Record")</f>
        <v>Catalog Record</v>
      </c>
      <c r="AT345" s="6" t="str">
        <f>HYPERLINK("http://www.worldcat.org/oclc/1500349","WorldCat Record")</f>
        <v>WorldCat Record</v>
      </c>
      <c r="AU345" s="3" t="s">
        <v>4523</v>
      </c>
      <c r="AV345" s="3" t="s">
        <v>4524</v>
      </c>
      <c r="AW345" s="3" t="s">
        <v>4525</v>
      </c>
      <c r="AX345" s="3" t="s">
        <v>4525</v>
      </c>
      <c r="AY345" s="3" t="s">
        <v>4526</v>
      </c>
      <c r="AZ345" s="3" t="s">
        <v>73</v>
      </c>
      <c r="BB345" s="3" t="s">
        <v>4527</v>
      </c>
      <c r="BC345" s="3" t="s">
        <v>4528</v>
      </c>
      <c r="BD345" s="3" t="s">
        <v>4529</v>
      </c>
    </row>
    <row r="346" spans="1:56" ht="45" customHeight="1" x14ac:dyDescent="0.25">
      <c r="A346" s="8" t="s">
        <v>58</v>
      </c>
      <c r="B346" s="2" t="s">
        <v>4530</v>
      </c>
      <c r="C346" s="2" t="s">
        <v>4531</v>
      </c>
      <c r="D346" s="2" t="s">
        <v>4532</v>
      </c>
      <c r="F346" s="3" t="s">
        <v>58</v>
      </c>
      <c r="G346" s="3" t="s">
        <v>59</v>
      </c>
      <c r="H346" s="3" t="s">
        <v>58</v>
      </c>
      <c r="I346" s="3" t="s">
        <v>58</v>
      </c>
      <c r="J346" s="3" t="s">
        <v>60</v>
      </c>
      <c r="K346" s="2" t="s">
        <v>4533</v>
      </c>
      <c r="L346" s="2" t="s">
        <v>4534</v>
      </c>
      <c r="M346" s="3" t="s">
        <v>762</v>
      </c>
      <c r="O346" s="3" t="s">
        <v>64</v>
      </c>
      <c r="P346" s="3" t="s">
        <v>177</v>
      </c>
      <c r="R346" s="3" t="s">
        <v>66</v>
      </c>
      <c r="S346" s="4">
        <v>44</v>
      </c>
      <c r="T346" s="4">
        <v>44</v>
      </c>
      <c r="U346" s="5" t="s">
        <v>4535</v>
      </c>
      <c r="V346" s="5" t="s">
        <v>4535</v>
      </c>
      <c r="W346" s="5" t="s">
        <v>4510</v>
      </c>
      <c r="X346" s="5" t="s">
        <v>4510</v>
      </c>
      <c r="Y346" s="4">
        <v>558</v>
      </c>
      <c r="Z346" s="4">
        <v>519</v>
      </c>
      <c r="AA346" s="4">
        <v>651</v>
      </c>
      <c r="AB346" s="4">
        <v>6</v>
      </c>
      <c r="AC346" s="4">
        <v>6</v>
      </c>
      <c r="AD346" s="4">
        <v>12</v>
      </c>
      <c r="AE346" s="4">
        <v>14</v>
      </c>
      <c r="AF346" s="4">
        <v>3</v>
      </c>
      <c r="AG346" s="4">
        <v>4</v>
      </c>
      <c r="AH346" s="4">
        <v>2</v>
      </c>
      <c r="AI346" s="4">
        <v>3</v>
      </c>
      <c r="AJ346" s="4">
        <v>5</v>
      </c>
      <c r="AK346" s="4">
        <v>7</v>
      </c>
      <c r="AL346" s="4">
        <v>4</v>
      </c>
      <c r="AM346" s="4">
        <v>4</v>
      </c>
      <c r="AN346" s="4">
        <v>0</v>
      </c>
      <c r="AO346" s="4">
        <v>0</v>
      </c>
      <c r="AP346" s="3" t="s">
        <v>58</v>
      </c>
      <c r="AQ346" s="3" t="s">
        <v>68</v>
      </c>
      <c r="AR346" s="6" t="str">
        <f>HYPERLINK("http://catalog.hathitrust.org/Record/000005234","HathiTrust Record")</f>
        <v>HathiTrust Record</v>
      </c>
      <c r="AS346" s="6" t="str">
        <f>HYPERLINK("https://creighton-primo.hosted.exlibrisgroup.com/primo-explore/search?tab=default_tab&amp;search_scope=EVERYTHING&amp;vid=01CRU&amp;lang=en_US&amp;offset=0&amp;query=any,contains,991002552219702656","Catalog Record")</f>
        <v>Catalog Record</v>
      </c>
      <c r="AT346" s="6" t="str">
        <f>HYPERLINK("http://www.worldcat.org/oclc/370223","WorldCat Record")</f>
        <v>WorldCat Record</v>
      </c>
      <c r="AU346" s="3" t="s">
        <v>4536</v>
      </c>
      <c r="AV346" s="3" t="s">
        <v>4537</v>
      </c>
      <c r="AW346" s="3" t="s">
        <v>4538</v>
      </c>
      <c r="AX346" s="3" t="s">
        <v>4538</v>
      </c>
      <c r="AY346" s="3" t="s">
        <v>4539</v>
      </c>
      <c r="AZ346" s="3" t="s">
        <v>73</v>
      </c>
      <c r="BB346" s="3" t="s">
        <v>4540</v>
      </c>
      <c r="BC346" s="3" t="s">
        <v>4541</v>
      </c>
      <c r="BD346" s="3" t="s">
        <v>4542</v>
      </c>
    </row>
    <row r="347" spans="1:56" ht="45" customHeight="1" x14ac:dyDescent="0.25">
      <c r="A347" s="8" t="s">
        <v>58</v>
      </c>
      <c r="B347" s="2" t="s">
        <v>4543</v>
      </c>
      <c r="C347" s="2" t="s">
        <v>4544</v>
      </c>
      <c r="D347" s="2" t="s">
        <v>4545</v>
      </c>
      <c r="F347" s="3" t="s">
        <v>58</v>
      </c>
      <c r="G347" s="3" t="s">
        <v>59</v>
      </c>
      <c r="H347" s="3" t="s">
        <v>58</v>
      </c>
      <c r="I347" s="3" t="s">
        <v>68</v>
      </c>
      <c r="J347" s="3" t="s">
        <v>60</v>
      </c>
      <c r="K347" s="2" t="s">
        <v>4546</v>
      </c>
      <c r="L347" s="2" t="s">
        <v>4547</v>
      </c>
      <c r="M347" s="3" t="s">
        <v>219</v>
      </c>
      <c r="O347" s="3" t="s">
        <v>64</v>
      </c>
      <c r="P347" s="3" t="s">
        <v>177</v>
      </c>
      <c r="R347" s="3" t="s">
        <v>66</v>
      </c>
      <c r="S347" s="4">
        <v>10</v>
      </c>
      <c r="T347" s="4">
        <v>10</v>
      </c>
      <c r="U347" s="5" t="s">
        <v>4548</v>
      </c>
      <c r="V347" s="5" t="s">
        <v>4548</v>
      </c>
      <c r="W347" s="5" t="s">
        <v>4260</v>
      </c>
      <c r="X347" s="5" t="s">
        <v>4260</v>
      </c>
      <c r="Y347" s="4">
        <v>225</v>
      </c>
      <c r="Z347" s="4">
        <v>189</v>
      </c>
      <c r="AA347" s="4">
        <v>488</v>
      </c>
      <c r="AB347" s="4">
        <v>2</v>
      </c>
      <c r="AC347" s="4">
        <v>5</v>
      </c>
      <c r="AD347" s="4">
        <v>10</v>
      </c>
      <c r="AE347" s="4">
        <v>18</v>
      </c>
      <c r="AF347" s="4">
        <v>4</v>
      </c>
      <c r="AG347" s="4">
        <v>10</v>
      </c>
      <c r="AH347" s="4">
        <v>1</v>
      </c>
      <c r="AI347" s="4">
        <v>1</v>
      </c>
      <c r="AJ347" s="4">
        <v>6</v>
      </c>
      <c r="AK347" s="4">
        <v>10</v>
      </c>
      <c r="AL347" s="4">
        <v>1</v>
      </c>
      <c r="AM347" s="4">
        <v>3</v>
      </c>
      <c r="AN347" s="4">
        <v>0</v>
      </c>
      <c r="AO347" s="4">
        <v>0</v>
      </c>
      <c r="AP347" s="3" t="s">
        <v>58</v>
      </c>
      <c r="AQ347" s="3" t="s">
        <v>58</v>
      </c>
      <c r="AS347" s="6" t="str">
        <f>HYPERLINK("https://creighton-primo.hosted.exlibrisgroup.com/primo-explore/search?tab=default_tab&amp;search_scope=EVERYTHING&amp;vid=01CRU&amp;lang=en_US&amp;offset=0&amp;query=any,contains,991001898009702656","Catalog Record")</f>
        <v>Catalog Record</v>
      </c>
      <c r="AT347" s="6" t="str">
        <f>HYPERLINK("http://www.worldcat.org/oclc/23974275","WorldCat Record")</f>
        <v>WorldCat Record</v>
      </c>
      <c r="AU347" s="3" t="s">
        <v>4549</v>
      </c>
      <c r="AV347" s="3" t="s">
        <v>4550</v>
      </c>
      <c r="AW347" s="3" t="s">
        <v>4551</v>
      </c>
      <c r="AX347" s="3" t="s">
        <v>4551</v>
      </c>
      <c r="AY347" s="3" t="s">
        <v>4552</v>
      </c>
      <c r="AZ347" s="3" t="s">
        <v>73</v>
      </c>
      <c r="BB347" s="3" t="s">
        <v>4553</v>
      </c>
      <c r="BC347" s="3" t="s">
        <v>4554</v>
      </c>
      <c r="BD347" s="3" t="s">
        <v>4555</v>
      </c>
    </row>
    <row r="348" spans="1:56" ht="45" customHeight="1" x14ac:dyDescent="0.25">
      <c r="A348" s="8" t="s">
        <v>58</v>
      </c>
      <c r="B348" s="2" t="s">
        <v>4556</v>
      </c>
      <c r="C348" s="2" t="s">
        <v>4557</v>
      </c>
      <c r="D348" s="2" t="s">
        <v>4558</v>
      </c>
      <c r="F348" s="3" t="s">
        <v>58</v>
      </c>
      <c r="G348" s="3" t="s">
        <v>59</v>
      </c>
      <c r="H348" s="3" t="s">
        <v>58</v>
      </c>
      <c r="I348" s="3" t="s">
        <v>58</v>
      </c>
      <c r="J348" s="3" t="s">
        <v>60</v>
      </c>
      <c r="L348" s="2" t="s">
        <v>4559</v>
      </c>
      <c r="M348" s="3" t="s">
        <v>176</v>
      </c>
      <c r="O348" s="3" t="s">
        <v>64</v>
      </c>
      <c r="P348" s="3" t="s">
        <v>177</v>
      </c>
      <c r="R348" s="3" t="s">
        <v>66</v>
      </c>
      <c r="S348" s="4">
        <v>4</v>
      </c>
      <c r="T348" s="4">
        <v>4</v>
      </c>
      <c r="U348" s="5" t="s">
        <v>4560</v>
      </c>
      <c r="V348" s="5" t="s">
        <v>4560</v>
      </c>
      <c r="W348" s="5" t="s">
        <v>4561</v>
      </c>
      <c r="X348" s="5" t="s">
        <v>4561</v>
      </c>
      <c r="Y348" s="4">
        <v>423</v>
      </c>
      <c r="Z348" s="4">
        <v>357</v>
      </c>
      <c r="AA348" s="4">
        <v>358</v>
      </c>
      <c r="AB348" s="4">
        <v>3</v>
      </c>
      <c r="AC348" s="4">
        <v>3</v>
      </c>
      <c r="AD348" s="4">
        <v>16</v>
      </c>
      <c r="AE348" s="4">
        <v>16</v>
      </c>
      <c r="AF348" s="4">
        <v>5</v>
      </c>
      <c r="AG348" s="4">
        <v>5</v>
      </c>
      <c r="AH348" s="4">
        <v>3</v>
      </c>
      <c r="AI348" s="4">
        <v>3</v>
      </c>
      <c r="AJ348" s="4">
        <v>12</v>
      </c>
      <c r="AK348" s="4">
        <v>12</v>
      </c>
      <c r="AL348" s="4">
        <v>2</v>
      </c>
      <c r="AM348" s="4">
        <v>2</v>
      </c>
      <c r="AN348" s="4">
        <v>0</v>
      </c>
      <c r="AO348" s="4">
        <v>0</v>
      </c>
      <c r="AP348" s="3" t="s">
        <v>58</v>
      </c>
      <c r="AQ348" s="3" t="s">
        <v>58</v>
      </c>
      <c r="AS348" s="6" t="str">
        <f>HYPERLINK("https://creighton-primo.hosted.exlibrisgroup.com/primo-explore/search?tab=default_tab&amp;search_scope=EVERYTHING&amp;vid=01CRU&amp;lang=en_US&amp;offset=0&amp;query=any,contains,991001977439702656","Catalog Record")</f>
        <v>Catalog Record</v>
      </c>
      <c r="AT348" s="6" t="str">
        <f>HYPERLINK("http://www.worldcat.org/oclc/25091276","WorldCat Record")</f>
        <v>WorldCat Record</v>
      </c>
      <c r="AU348" s="3" t="s">
        <v>4562</v>
      </c>
      <c r="AV348" s="3" t="s">
        <v>4563</v>
      </c>
      <c r="AW348" s="3" t="s">
        <v>4564</v>
      </c>
      <c r="AX348" s="3" t="s">
        <v>4564</v>
      </c>
      <c r="AY348" s="3" t="s">
        <v>4565</v>
      </c>
      <c r="AZ348" s="3" t="s">
        <v>73</v>
      </c>
      <c r="BB348" s="3" t="s">
        <v>4566</v>
      </c>
      <c r="BC348" s="3" t="s">
        <v>4567</v>
      </c>
      <c r="BD348" s="3" t="s">
        <v>4568</v>
      </c>
    </row>
    <row r="349" spans="1:56" ht="45" customHeight="1" x14ac:dyDescent="0.25">
      <c r="A349" s="8" t="s">
        <v>58</v>
      </c>
      <c r="B349" s="2" t="s">
        <v>4569</v>
      </c>
      <c r="C349" s="2" t="s">
        <v>4570</v>
      </c>
      <c r="D349" s="2" t="s">
        <v>4571</v>
      </c>
      <c r="F349" s="3" t="s">
        <v>58</v>
      </c>
      <c r="G349" s="3" t="s">
        <v>59</v>
      </c>
      <c r="H349" s="3" t="s">
        <v>58</v>
      </c>
      <c r="I349" s="3" t="s">
        <v>58</v>
      </c>
      <c r="J349" s="3" t="s">
        <v>60</v>
      </c>
      <c r="K349" s="2" t="s">
        <v>4572</v>
      </c>
      <c r="L349" s="2" t="s">
        <v>4573</v>
      </c>
      <c r="M349" s="3" t="s">
        <v>450</v>
      </c>
      <c r="O349" s="3" t="s">
        <v>64</v>
      </c>
      <c r="P349" s="3" t="s">
        <v>99</v>
      </c>
      <c r="R349" s="3" t="s">
        <v>66</v>
      </c>
      <c r="S349" s="4">
        <v>1</v>
      </c>
      <c r="T349" s="4">
        <v>1</v>
      </c>
      <c r="U349" s="5" t="s">
        <v>221</v>
      </c>
      <c r="V349" s="5" t="s">
        <v>221</v>
      </c>
      <c r="W349" s="5" t="s">
        <v>3021</v>
      </c>
      <c r="X349" s="5" t="s">
        <v>3021</v>
      </c>
      <c r="Y349" s="4">
        <v>214</v>
      </c>
      <c r="Z349" s="4">
        <v>169</v>
      </c>
      <c r="AA349" s="4">
        <v>248</v>
      </c>
      <c r="AB349" s="4">
        <v>2</v>
      </c>
      <c r="AC349" s="4">
        <v>2</v>
      </c>
      <c r="AD349" s="4">
        <v>5</v>
      </c>
      <c r="AE349" s="4">
        <v>8</v>
      </c>
      <c r="AF349" s="4">
        <v>1</v>
      </c>
      <c r="AG349" s="4">
        <v>2</v>
      </c>
      <c r="AH349" s="4">
        <v>1</v>
      </c>
      <c r="AI349" s="4">
        <v>1</v>
      </c>
      <c r="AJ349" s="4">
        <v>2</v>
      </c>
      <c r="AK349" s="4">
        <v>5</v>
      </c>
      <c r="AL349" s="4">
        <v>1</v>
      </c>
      <c r="AM349" s="4">
        <v>1</v>
      </c>
      <c r="AN349" s="4">
        <v>0</v>
      </c>
      <c r="AO349" s="4">
        <v>0</v>
      </c>
      <c r="AP349" s="3" t="s">
        <v>58</v>
      </c>
      <c r="AQ349" s="3" t="s">
        <v>68</v>
      </c>
      <c r="AR349" s="6" t="str">
        <f>HYPERLINK("http://catalog.hathitrust.org/Record/000871096","HathiTrust Record")</f>
        <v>HathiTrust Record</v>
      </c>
      <c r="AS349" s="6" t="str">
        <f>HYPERLINK("https://creighton-primo.hosted.exlibrisgroup.com/primo-explore/search?tab=default_tab&amp;search_scope=EVERYTHING&amp;vid=01CRU&amp;lang=en_US&amp;offset=0&amp;query=any,contains,991001035669702656","Catalog Record")</f>
        <v>Catalog Record</v>
      </c>
      <c r="AT349" s="6" t="str">
        <f>HYPERLINK("http://www.worldcat.org/oclc/15548945","WorldCat Record")</f>
        <v>WorldCat Record</v>
      </c>
      <c r="AU349" s="3" t="s">
        <v>4574</v>
      </c>
      <c r="AV349" s="3" t="s">
        <v>4575</v>
      </c>
      <c r="AW349" s="3" t="s">
        <v>4576</v>
      </c>
      <c r="AX349" s="3" t="s">
        <v>4576</v>
      </c>
      <c r="AY349" s="3" t="s">
        <v>4577</v>
      </c>
      <c r="AZ349" s="3" t="s">
        <v>73</v>
      </c>
      <c r="BB349" s="3" t="s">
        <v>4578</v>
      </c>
      <c r="BC349" s="3" t="s">
        <v>4579</v>
      </c>
      <c r="BD349" s="3" t="s">
        <v>4580</v>
      </c>
    </row>
    <row r="350" spans="1:56" ht="45" customHeight="1" x14ac:dyDescent="0.25">
      <c r="A350" s="8" t="s">
        <v>58</v>
      </c>
      <c r="B350" s="2" t="s">
        <v>4581</v>
      </c>
      <c r="C350" s="2" t="s">
        <v>4582</v>
      </c>
      <c r="D350" s="2" t="s">
        <v>4583</v>
      </c>
      <c r="F350" s="3" t="s">
        <v>58</v>
      </c>
      <c r="G350" s="3" t="s">
        <v>59</v>
      </c>
      <c r="H350" s="3" t="s">
        <v>58</v>
      </c>
      <c r="I350" s="3" t="s">
        <v>58</v>
      </c>
      <c r="J350" s="3" t="s">
        <v>60</v>
      </c>
      <c r="K350" s="2" t="s">
        <v>4584</v>
      </c>
      <c r="L350" s="2" t="s">
        <v>4585</v>
      </c>
      <c r="M350" s="3" t="s">
        <v>509</v>
      </c>
      <c r="O350" s="3" t="s">
        <v>64</v>
      </c>
      <c r="P350" s="3" t="s">
        <v>422</v>
      </c>
      <c r="R350" s="3" t="s">
        <v>66</v>
      </c>
      <c r="S350" s="4">
        <v>5</v>
      </c>
      <c r="T350" s="4">
        <v>5</v>
      </c>
      <c r="U350" s="5" t="s">
        <v>3280</v>
      </c>
      <c r="V350" s="5" t="s">
        <v>3280</v>
      </c>
      <c r="W350" s="5" t="s">
        <v>2028</v>
      </c>
      <c r="X350" s="5" t="s">
        <v>2028</v>
      </c>
      <c r="Y350" s="4">
        <v>753</v>
      </c>
      <c r="Z350" s="4">
        <v>635</v>
      </c>
      <c r="AA350" s="4">
        <v>646</v>
      </c>
      <c r="AB350" s="4">
        <v>4</v>
      </c>
      <c r="AC350" s="4">
        <v>4</v>
      </c>
      <c r="AD350" s="4">
        <v>23</v>
      </c>
      <c r="AE350" s="4">
        <v>24</v>
      </c>
      <c r="AF350" s="4">
        <v>9</v>
      </c>
      <c r="AG350" s="4">
        <v>10</v>
      </c>
      <c r="AH350" s="4">
        <v>5</v>
      </c>
      <c r="AI350" s="4">
        <v>5</v>
      </c>
      <c r="AJ350" s="4">
        <v>9</v>
      </c>
      <c r="AK350" s="4">
        <v>10</v>
      </c>
      <c r="AL350" s="4">
        <v>2</v>
      </c>
      <c r="AM350" s="4">
        <v>2</v>
      </c>
      <c r="AN350" s="4">
        <v>1</v>
      </c>
      <c r="AO350" s="4">
        <v>1</v>
      </c>
      <c r="AP350" s="3" t="s">
        <v>58</v>
      </c>
      <c r="AQ350" s="3" t="s">
        <v>68</v>
      </c>
      <c r="AR350" s="6" t="str">
        <f>HYPERLINK("http://catalog.hathitrust.org/Record/003120652","HathiTrust Record")</f>
        <v>HathiTrust Record</v>
      </c>
      <c r="AS350" s="6" t="str">
        <f>HYPERLINK("https://creighton-primo.hosted.exlibrisgroup.com/primo-explore/search?tab=default_tab&amp;search_scope=EVERYTHING&amp;vid=01CRU&amp;lang=en_US&amp;offset=0&amp;query=any,contains,991002668829702656","Catalog Record")</f>
        <v>Catalog Record</v>
      </c>
      <c r="AT350" s="6" t="str">
        <f>HYPERLINK("http://www.worldcat.org/oclc/34912554","WorldCat Record")</f>
        <v>WorldCat Record</v>
      </c>
      <c r="AU350" s="3" t="s">
        <v>4586</v>
      </c>
      <c r="AV350" s="3" t="s">
        <v>4587</v>
      </c>
      <c r="AW350" s="3" t="s">
        <v>4588</v>
      </c>
      <c r="AX350" s="3" t="s">
        <v>4588</v>
      </c>
      <c r="AY350" s="3" t="s">
        <v>4589</v>
      </c>
      <c r="AZ350" s="3" t="s">
        <v>73</v>
      </c>
      <c r="BB350" s="3" t="s">
        <v>4590</v>
      </c>
      <c r="BC350" s="3" t="s">
        <v>4591</v>
      </c>
      <c r="BD350" s="3" t="s">
        <v>4592</v>
      </c>
    </row>
    <row r="351" spans="1:56" ht="45" customHeight="1" x14ac:dyDescent="0.25">
      <c r="A351" s="8" t="s">
        <v>58</v>
      </c>
      <c r="B351" s="2" t="s">
        <v>4593</v>
      </c>
      <c r="C351" s="2" t="s">
        <v>4594</v>
      </c>
      <c r="D351" s="2" t="s">
        <v>4595</v>
      </c>
      <c r="F351" s="3" t="s">
        <v>58</v>
      </c>
      <c r="G351" s="3" t="s">
        <v>59</v>
      </c>
      <c r="H351" s="3" t="s">
        <v>58</v>
      </c>
      <c r="I351" s="3" t="s">
        <v>68</v>
      </c>
      <c r="J351" s="3" t="s">
        <v>60</v>
      </c>
      <c r="L351" s="2" t="s">
        <v>3265</v>
      </c>
      <c r="M351" s="3" t="s">
        <v>1181</v>
      </c>
      <c r="O351" s="3" t="s">
        <v>64</v>
      </c>
      <c r="P351" s="3" t="s">
        <v>250</v>
      </c>
      <c r="R351" s="3" t="s">
        <v>66</v>
      </c>
      <c r="S351" s="4">
        <v>15</v>
      </c>
      <c r="T351" s="4">
        <v>15</v>
      </c>
      <c r="U351" s="5" t="s">
        <v>4596</v>
      </c>
      <c r="V351" s="5" t="s">
        <v>4596</v>
      </c>
      <c r="W351" s="5" t="s">
        <v>4597</v>
      </c>
      <c r="X351" s="5" t="s">
        <v>4597</v>
      </c>
      <c r="Y351" s="4">
        <v>80</v>
      </c>
      <c r="Z351" s="4">
        <v>74</v>
      </c>
      <c r="AA351" s="4">
        <v>272</v>
      </c>
      <c r="AB351" s="4">
        <v>2</v>
      </c>
      <c r="AC351" s="4">
        <v>2</v>
      </c>
      <c r="AD351" s="4">
        <v>2</v>
      </c>
      <c r="AE351" s="4">
        <v>12</v>
      </c>
      <c r="AF351" s="4">
        <v>0</v>
      </c>
      <c r="AG351" s="4">
        <v>2</v>
      </c>
      <c r="AH351" s="4">
        <v>0</v>
      </c>
      <c r="AI351" s="4">
        <v>5</v>
      </c>
      <c r="AJ351" s="4">
        <v>1</v>
      </c>
      <c r="AK351" s="4">
        <v>7</v>
      </c>
      <c r="AL351" s="4">
        <v>1</v>
      </c>
      <c r="AM351" s="4">
        <v>1</v>
      </c>
      <c r="AN351" s="4">
        <v>0</v>
      </c>
      <c r="AO351" s="4">
        <v>0</v>
      </c>
      <c r="AP351" s="3" t="s">
        <v>58</v>
      </c>
      <c r="AQ351" s="3" t="s">
        <v>68</v>
      </c>
      <c r="AR351" s="6" t="str">
        <f>HYPERLINK("http://catalog.hathitrust.org/Record/002533403","HathiTrust Record")</f>
        <v>HathiTrust Record</v>
      </c>
      <c r="AS351" s="6" t="str">
        <f>HYPERLINK("https://creighton-primo.hosted.exlibrisgroup.com/primo-explore/search?tab=default_tab&amp;search_scope=EVERYTHING&amp;vid=01CRU&amp;lang=en_US&amp;offset=0&amp;query=any,contains,991001872499702656","Catalog Record")</f>
        <v>Catalog Record</v>
      </c>
      <c r="AT351" s="6" t="str">
        <f>HYPERLINK("http://www.worldcat.org/oclc/23649832","WorldCat Record")</f>
        <v>WorldCat Record</v>
      </c>
      <c r="AU351" s="3" t="s">
        <v>4598</v>
      </c>
      <c r="AV351" s="3" t="s">
        <v>4599</v>
      </c>
      <c r="AW351" s="3" t="s">
        <v>4600</v>
      </c>
      <c r="AX351" s="3" t="s">
        <v>4600</v>
      </c>
      <c r="AY351" s="3" t="s">
        <v>4601</v>
      </c>
      <c r="AZ351" s="3" t="s">
        <v>73</v>
      </c>
      <c r="BB351" s="3" t="s">
        <v>4602</v>
      </c>
      <c r="BC351" s="3" t="s">
        <v>4603</v>
      </c>
      <c r="BD351" s="3" t="s">
        <v>4604</v>
      </c>
    </row>
    <row r="352" spans="1:56" ht="45" customHeight="1" x14ac:dyDescent="0.25">
      <c r="A352" s="8" t="s">
        <v>58</v>
      </c>
      <c r="B352" s="2" t="s">
        <v>4605</v>
      </c>
      <c r="C352" s="2" t="s">
        <v>4606</v>
      </c>
      <c r="D352" s="2" t="s">
        <v>4607</v>
      </c>
      <c r="F352" s="3" t="s">
        <v>58</v>
      </c>
      <c r="G352" s="3" t="s">
        <v>59</v>
      </c>
      <c r="H352" s="3" t="s">
        <v>58</v>
      </c>
      <c r="I352" s="3" t="s">
        <v>58</v>
      </c>
      <c r="J352" s="3" t="s">
        <v>60</v>
      </c>
      <c r="K352" s="2" t="s">
        <v>4608</v>
      </c>
      <c r="L352" s="2" t="s">
        <v>4609</v>
      </c>
      <c r="M352" s="3" t="s">
        <v>393</v>
      </c>
      <c r="O352" s="3" t="s">
        <v>64</v>
      </c>
      <c r="P352" s="3" t="s">
        <v>177</v>
      </c>
      <c r="R352" s="3" t="s">
        <v>66</v>
      </c>
      <c r="S352" s="4">
        <v>5</v>
      </c>
      <c r="T352" s="4">
        <v>5</v>
      </c>
      <c r="U352" s="5" t="s">
        <v>4610</v>
      </c>
      <c r="V352" s="5" t="s">
        <v>4610</v>
      </c>
      <c r="W352" s="5" t="s">
        <v>2812</v>
      </c>
      <c r="X352" s="5" t="s">
        <v>2812</v>
      </c>
      <c r="Y352" s="4">
        <v>403</v>
      </c>
      <c r="Z352" s="4">
        <v>325</v>
      </c>
      <c r="AA352" s="4">
        <v>344</v>
      </c>
      <c r="AB352" s="4">
        <v>3</v>
      </c>
      <c r="AC352" s="4">
        <v>3</v>
      </c>
      <c r="AD352" s="4">
        <v>11</v>
      </c>
      <c r="AE352" s="4">
        <v>13</v>
      </c>
      <c r="AF352" s="4">
        <v>3</v>
      </c>
      <c r="AG352" s="4">
        <v>5</v>
      </c>
      <c r="AH352" s="4">
        <v>3</v>
      </c>
      <c r="AI352" s="4">
        <v>3</v>
      </c>
      <c r="AJ352" s="4">
        <v>6</v>
      </c>
      <c r="AK352" s="4">
        <v>7</v>
      </c>
      <c r="AL352" s="4">
        <v>2</v>
      </c>
      <c r="AM352" s="4">
        <v>2</v>
      </c>
      <c r="AN352" s="4">
        <v>0</v>
      </c>
      <c r="AO352" s="4">
        <v>0</v>
      </c>
      <c r="AP352" s="3" t="s">
        <v>58</v>
      </c>
      <c r="AQ352" s="3" t="s">
        <v>58</v>
      </c>
      <c r="AS352" s="6" t="str">
        <f>HYPERLINK("https://creighton-primo.hosted.exlibrisgroup.com/primo-explore/search?tab=default_tab&amp;search_scope=EVERYTHING&amp;vid=01CRU&amp;lang=en_US&amp;offset=0&amp;query=any,contains,991005037629702656","Catalog Record")</f>
        <v>Catalog Record</v>
      </c>
      <c r="AT352" s="6" t="str">
        <f>HYPERLINK("http://www.worldcat.org/oclc/6762678","WorldCat Record")</f>
        <v>WorldCat Record</v>
      </c>
      <c r="AU352" s="3" t="s">
        <v>4611</v>
      </c>
      <c r="AV352" s="3" t="s">
        <v>4612</v>
      </c>
      <c r="AW352" s="3" t="s">
        <v>4613</v>
      </c>
      <c r="AX352" s="3" t="s">
        <v>4613</v>
      </c>
      <c r="AY352" s="3" t="s">
        <v>4614</v>
      </c>
      <c r="AZ352" s="3" t="s">
        <v>73</v>
      </c>
      <c r="BB352" s="3" t="s">
        <v>4615</v>
      </c>
      <c r="BC352" s="3" t="s">
        <v>4616</v>
      </c>
      <c r="BD352" s="3" t="s">
        <v>4617</v>
      </c>
    </row>
    <row r="353" spans="1:56" ht="45" customHeight="1" x14ac:dyDescent="0.25">
      <c r="A353" s="8" t="s">
        <v>58</v>
      </c>
      <c r="B353" s="2" t="s">
        <v>4618</v>
      </c>
      <c r="C353" s="2" t="s">
        <v>4619</v>
      </c>
      <c r="D353" s="2" t="s">
        <v>4620</v>
      </c>
      <c r="F353" s="3" t="s">
        <v>58</v>
      </c>
      <c r="G353" s="3" t="s">
        <v>59</v>
      </c>
      <c r="H353" s="3" t="s">
        <v>58</v>
      </c>
      <c r="I353" s="3" t="s">
        <v>58</v>
      </c>
      <c r="J353" s="3" t="s">
        <v>60</v>
      </c>
      <c r="K353" s="2" t="s">
        <v>4621</v>
      </c>
      <c r="L353" s="2" t="s">
        <v>4622</v>
      </c>
      <c r="M353" s="3" t="s">
        <v>1451</v>
      </c>
      <c r="O353" s="3" t="s">
        <v>64</v>
      </c>
      <c r="P353" s="3" t="s">
        <v>177</v>
      </c>
      <c r="Q353" s="2" t="s">
        <v>4623</v>
      </c>
      <c r="R353" s="3" t="s">
        <v>66</v>
      </c>
      <c r="S353" s="4">
        <v>3</v>
      </c>
      <c r="T353" s="4">
        <v>3</v>
      </c>
      <c r="U353" s="5" t="s">
        <v>4624</v>
      </c>
      <c r="V353" s="5" t="s">
        <v>4624</v>
      </c>
      <c r="W353" s="5" t="s">
        <v>4625</v>
      </c>
      <c r="X353" s="5" t="s">
        <v>4625</v>
      </c>
      <c r="Y353" s="4">
        <v>460</v>
      </c>
      <c r="Z353" s="4">
        <v>385</v>
      </c>
      <c r="AA353" s="4">
        <v>413</v>
      </c>
      <c r="AB353" s="4">
        <v>3</v>
      </c>
      <c r="AC353" s="4">
        <v>3</v>
      </c>
      <c r="AD353" s="4">
        <v>20</v>
      </c>
      <c r="AE353" s="4">
        <v>22</v>
      </c>
      <c r="AF353" s="4">
        <v>9</v>
      </c>
      <c r="AG353" s="4">
        <v>11</v>
      </c>
      <c r="AH353" s="4">
        <v>4</v>
      </c>
      <c r="AI353" s="4">
        <v>5</v>
      </c>
      <c r="AJ353" s="4">
        <v>12</v>
      </c>
      <c r="AK353" s="4">
        <v>12</v>
      </c>
      <c r="AL353" s="4">
        <v>2</v>
      </c>
      <c r="AM353" s="4">
        <v>2</v>
      </c>
      <c r="AN353" s="4">
        <v>0</v>
      </c>
      <c r="AO353" s="4">
        <v>0</v>
      </c>
      <c r="AP353" s="3" t="s">
        <v>58</v>
      </c>
      <c r="AQ353" s="3" t="s">
        <v>68</v>
      </c>
      <c r="AR353" s="6" t="str">
        <f>HYPERLINK("http://catalog.hathitrust.org/Record/003973685","HathiTrust Record")</f>
        <v>HathiTrust Record</v>
      </c>
      <c r="AS353" s="6" t="str">
        <f>HYPERLINK("https://creighton-primo.hosted.exlibrisgroup.com/primo-explore/search?tab=default_tab&amp;search_scope=EVERYTHING&amp;vid=01CRU&amp;lang=en_US&amp;offset=0&amp;query=any,contains,991002917999702656","Catalog Record")</f>
        <v>Catalog Record</v>
      </c>
      <c r="AT353" s="6" t="str">
        <f>HYPERLINK("http://www.worldcat.org/oclc/38590002","WorldCat Record")</f>
        <v>WorldCat Record</v>
      </c>
      <c r="AU353" s="3" t="s">
        <v>4626</v>
      </c>
      <c r="AV353" s="3" t="s">
        <v>4627</v>
      </c>
      <c r="AW353" s="3" t="s">
        <v>4628</v>
      </c>
      <c r="AX353" s="3" t="s">
        <v>4628</v>
      </c>
      <c r="AY353" s="3" t="s">
        <v>4629</v>
      </c>
      <c r="AZ353" s="3" t="s">
        <v>73</v>
      </c>
      <c r="BB353" s="3" t="s">
        <v>4630</v>
      </c>
      <c r="BC353" s="3" t="s">
        <v>4631</v>
      </c>
      <c r="BD353" s="3" t="s">
        <v>4632</v>
      </c>
    </row>
    <row r="354" spans="1:56" ht="45" customHeight="1" x14ac:dyDescent="0.25">
      <c r="A354" s="8" t="s">
        <v>58</v>
      </c>
      <c r="B354" s="2" t="s">
        <v>4633</v>
      </c>
      <c r="C354" s="2" t="s">
        <v>4634</v>
      </c>
      <c r="D354" s="2" t="s">
        <v>4635</v>
      </c>
      <c r="F354" s="3" t="s">
        <v>58</v>
      </c>
      <c r="G354" s="3" t="s">
        <v>59</v>
      </c>
      <c r="H354" s="3" t="s">
        <v>58</v>
      </c>
      <c r="I354" s="3" t="s">
        <v>58</v>
      </c>
      <c r="J354" s="3" t="s">
        <v>60</v>
      </c>
      <c r="K354" s="2" t="s">
        <v>4636</v>
      </c>
      <c r="L354" s="2" t="s">
        <v>4637</v>
      </c>
      <c r="M354" s="3" t="s">
        <v>509</v>
      </c>
      <c r="N354" s="2" t="s">
        <v>567</v>
      </c>
      <c r="O354" s="3" t="s">
        <v>64</v>
      </c>
      <c r="P354" s="3" t="s">
        <v>65</v>
      </c>
      <c r="Q354" s="2" t="s">
        <v>4638</v>
      </c>
      <c r="R354" s="3" t="s">
        <v>66</v>
      </c>
      <c r="S354" s="4">
        <v>4</v>
      </c>
      <c r="T354" s="4">
        <v>4</v>
      </c>
      <c r="U354" s="5" t="s">
        <v>4639</v>
      </c>
      <c r="V354" s="5" t="s">
        <v>4639</v>
      </c>
      <c r="W354" s="5" t="s">
        <v>4640</v>
      </c>
      <c r="X354" s="5" t="s">
        <v>4640</v>
      </c>
      <c r="Y354" s="4">
        <v>378</v>
      </c>
      <c r="Z354" s="4">
        <v>278</v>
      </c>
      <c r="AA354" s="4">
        <v>525</v>
      </c>
      <c r="AB354" s="4">
        <v>5</v>
      </c>
      <c r="AC354" s="4">
        <v>6</v>
      </c>
      <c r="AD354" s="4">
        <v>21</v>
      </c>
      <c r="AE354" s="4">
        <v>30</v>
      </c>
      <c r="AF354" s="4">
        <v>7</v>
      </c>
      <c r="AG354" s="4">
        <v>11</v>
      </c>
      <c r="AH354" s="4">
        <v>4</v>
      </c>
      <c r="AI354" s="4">
        <v>8</v>
      </c>
      <c r="AJ354" s="4">
        <v>13</v>
      </c>
      <c r="AK354" s="4">
        <v>16</v>
      </c>
      <c r="AL354" s="4">
        <v>4</v>
      </c>
      <c r="AM354" s="4">
        <v>5</v>
      </c>
      <c r="AN354" s="4">
        <v>0</v>
      </c>
      <c r="AO354" s="4">
        <v>0</v>
      </c>
      <c r="AP354" s="3" t="s">
        <v>58</v>
      </c>
      <c r="AQ354" s="3" t="s">
        <v>68</v>
      </c>
      <c r="AR354" s="6" t="str">
        <f>HYPERLINK("http://catalog.hathitrust.org/Record/101967022","HathiTrust Record")</f>
        <v>HathiTrust Record</v>
      </c>
      <c r="AS354" s="6" t="str">
        <f>HYPERLINK("https://creighton-primo.hosted.exlibrisgroup.com/primo-explore/search?tab=default_tab&amp;search_scope=EVERYTHING&amp;vid=01CRU&amp;lang=en_US&amp;offset=0&amp;query=any,contains,991002449979702656","Catalog Record")</f>
        <v>Catalog Record</v>
      </c>
      <c r="AT354" s="6" t="str">
        <f>HYPERLINK("http://www.worldcat.org/oclc/31940359","WorldCat Record")</f>
        <v>WorldCat Record</v>
      </c>
      <c r="AU354" s="3" t="s">
        <v>4641</v>
      </c>
      <c r="AV354" s="3" t="s">
        <v>4642</v>
      </c>
      <c r="AW354" s="3" t="s">
        <v>4643</v>
      </c>
      <c r="AX354" s="3" t="s">
        <v>4643</v>
      </c>
      <c r="AY354" s="3" t="s">
        <v>4644</v>
      </c>
      <c r="AZ354" s="3" t="s">
        <v>73</v>
      </c>
      <c r="BB354" s="3" t="s">
        <v>4645</v>
      </c>
      <c r="BC354" s="3" t="s">
        <v>4646</v>
      </c>
      <c r="BD354" s="3" t="s">
        <v>4647</v>
      </c>
    </row>
    <row r="355" spans="1:56" ht="45" customHeight="1" x14ac:dyDescent="0.25">
      <c r="A355" s="8" t="s">
        <v>58</v>
      </c>
      <c r="B355" s="2" t="s">
        <v>4648</v>
      </c>
      <c r="C355" s="2" t="s">
        <v>4649</v>
      </c>
      <c r="D355" s="2" t="s">
        <v>4650</v>
      </c>
      <c r="F355" s="3" t="s">
        <v>58</v>
      </c>
      <c r="G355" s="3" t="s">
        <v>59</v>
      </c>
      <c r="H355" s="3" t="s">
        <v>58</v>
      </c>
      <c r="I355" s="3" t="s">
        <v>58</v>
      </c>
      <c r="J355" s="3" t="s">
        <v>60</v>
      </c>
      <c r="K355" s="2" t="s">
        <v>4651</v>
      </c>
      <c r="L355" s="2" t="s">
        <v>4652</v>
      </c>
      <c r="M355" s="3" t="s">
        <v>1181</v>
      </c>
      <c r="O355" s="3" t="s">
        <v>64</v>
      </c>
      <c r="P355" s="3" t="s">
        <v>2875</v>
      </c>
      <c r="Q355" s="2" t="s">
        <v>4653</v>
      </c>
      <c r="R355" s="3" t="s">
        <v>66</v>
      </c>
      <c r="S355" s="4">
        <v>21</v>
      </c>
      <c r="T355" s="4">
        <v>21</v>
      </c>
      <c r="U355" s="5" t="s">
        <v>4654</v>
      </c>
      <c r="V355" s="5" t="s">
        <v>4654</v>
      </c>
      <c r="W355" s="5" t="s">
        <v>4655</v>
      </c>
      <c r="X355" s="5" t="s">
        <v>4655</v>
      </c>
      <c r="Y355" s="4">
        <v>106</v>
      </c>
      <c r="Z355" s="4">
        <v>74</v>
      </c>
      <c r="AA355" s="4">
        <v>74</v>
      </c>
      <c r="AB355" s="4">
        <v>2</v>
      </c>
      <c r="AC355" s="4">
        <v>2</v>
      </c>
      <c r="AD355" s="4">
        <v>7</v>
      </c>
      <c r="AE355" s="4">
        <v>7</v>
      </c>
      <c r="AF355" s="4">
        <v>1</v>
      </c>
      <c r="AG355" s="4">
        <v>1</v>
      </c>
      <c r="AH355" s="4">
        <v>3</v>
      </c>
      <c r="AI355" s="4">
        <v>3</v>
      </c>
      <c r="AJ355" s="4">
        <v>4</v>
      </c>
      <c r="AK355" s="4">
        <v>4</v>
      </c>
      <c r="AL355" s="4">
        <v>1</v>
      </c>
      <c r="AM355" s="4">
        <v>1</v>
      </c>
      <c r="AN355" s="4">
        <v>0</v>
      </c>
      <c r="AO355" s="4">
        <v>0</v>
      </c>
      <c r="AP355" s="3" t="s">
        <v>58</v>
      </c>
      <c r="AQ355" s="3" t="s">
        <v>58</v>
      </c>
      <c r="AS355" s="6" t="str">
        <f>HYPERLINK("https://creighton-primo.hosted.exlibrisgroup.com/primo-explore/search?tab=default_tab&amp;search_scope=EVERYTHING&amp;vid=01CRU&amp;lang=en_US&amp;offset=0&amp;query=any,contains,991005415539702656","Catalog Record")</f>
        <v>Catalog Record</v>
      </c>
      <c r="AT355" s="6" t="str">
        <f>HYPERLINK("http://www.worldcat.org/oclc/26296976","WorldCat Record")</f>
        <v>WorldCat Record</v>
      </c>
      <c r="AU355" s="3" t="s">
        <v>4656</v>
      </c>
      <c r="AV355" s="3" t="s">
        <v>4657</v>
      </c>
      <c r="AW355" s="3" t="s">
        <v>4658</v>
      </c>
      <c r="AX355" s="3" t="s">
        <v>4658</v>
      </c>
      <c r="AY355" s="3" t="s">
        <v>4659</v>
      </c>
      <c r="AZ355" s="3" t="s">
        <v>73</v>
      </c>
      <c r="BB355" s="3" t="s">
        <v>4660</v>
      </c>
      <c r="BC355" s="3" t="s">
        <v>4661</v>
      </c>
      <c r="BD355" s="3" t="s">
        <v>4662</v>
      </c>
    </row>
    <row r="356" spans="1:56" ht="45" customHeight="1" x14ac:dyDescent="0.25">
      <c r="A356" s="8" t="s">
        <v>58</v>
      </c>
      <c r="B356" s="2" t="s">
        <v>4663</v>
      </c>
      <c r="C356" s="2" t="s">
        <v>4664</v>
      </c>
      <c r="D356" s="2" t="s">
        <v>4665</v>
      </c>
      <c r="F356" s="3" t="s">
        <v>58</v>
      </c>
      <c r="G356" s="3" t="s">
        <v>59</v>
      </c>
      <c r="H356" s="3" t="s">
        <v>58</v>
      </c>
      <c r="I356" s="3" t="s">
        <v>58</v>
      </c>
      <c r="J356" s="3" t="s">
        <v>60</v>
      </c>
      <c r="L356" s="2" t="s">
        <v>4666</v>
      </c>
      <c r="M356" s="3" t="s">
        <v>1181</v>
      </c>
      <c r="O356" s="3" t="s">
        <v>64</v>
      </c>
      <c r="P356" s="3" t="s">
        <v>177</v>
      </c>
      <c r="R356" s="3" t="s">
        <v>66</v>
      </c>
      <c r="S356" s="4">
        <v>13</v>
      </c>
      <c r="T356" s="4">
        <v>13</v>
      </c>
      <c r="U356" s="5" t="s">
        <v>4667</v>
      </c>
      <c r="V356" s="5" t="s">
        <v>4667</v>
      </c>
      <c r="W356" s="5" t="s">
        <v>4668</v>
      </c>
      <c r="X356" s="5" t="s">
        <v>4668</v>
      </c>
      <c r="Y356" s="4">
        <v>340</v>
      </c>
      <c r="Z356" s="4">
        <v>261</v>
      </c>
      <c r="AA356" s="4">
        <v>262</v>
      </c>
      <c r="AB356" s="4">
        <v>2</v>
      </c>
      <c r="AC356" s="4">
        <v>2</v>
      </c>
      <c r="AD356" s="4">
        <v>16</v>
      </c>
      <c r="AE356" s="4">
        <v>16</v>
      </c>
      <c r="AF356" s="4">
        <v>6</v>
      </c>
      <c r="AG356" s="4">
        <v>6</v>
      </c>
      <c r="AH356" s="4">
        <v>4</v>
      </c>
      <c r="AI356" s="4">
        <v>4</v>
      </c>
      <c r="AJ356" s="4">
        <v>9</v>
      </c>
      <c r="AK356" s="4">
        <v>9</v>
      </c>
      <c r="AL356" s="4">
        <v>1</v>
      </c>
      <c r="AM356" s="4">
        <v>1</v>
      </c>
      <c r="AN356" s="4">
        <v>0</v>
      </c>
      <c r="AO356" s="4">
        <v>0</v>
      </c>
      <c r="AP356" s="3" t="s">
        <v>58</v>
      </c>
      <c r="AQ356" s="3" t="s">
        <v>58</v>
      </c>
      <c r="AS356" s="6" t="str">
        <f>HYPERLINK("https://creighton-primo.hosted.exlibrisgroup.com/primo-explore/search?tab=default_tab&amp;search_scope=EVERYTHING&amp;vid=01CRU&amp;lang=en_US&amp;offset=0&amp;query=any,contains,991001993219702656","Catalog Record")</f>
        <v>Catalog Record</v>
      </c>
      <c r="AT356" s="6" t="str">
        <f>HYPERLINK("http://www.worldcat.org/oclc/25316723","WorldCat Record")</f>
        <v>WorldCat Record</v>
      </c>
      <c r="AU356" s="3" t="s">
        <v>4669</v>
      </c>
      <c r="AV356" s="3" t="s">
        <v>4670</v>
      </c>
      <c r="AW356" s="3" t="s">
        <v>4671</v>
      </c>
      <c r="AX356" s="3" t="s">
        <v>4671</v>
      </c>
      <c r="AY356" s="3" t="s">
        <v>4672</v>
      </c>
      <c r="AZ356" s="3" t="s">
        <v>73</v>
      </c>
      <c r="BB356" s="3" t="s">
        <v>4673</v>
      </c>
      <c r="BC356" s="3" t="s">
        <v>4674</v>
      </c>
      <c r="BD356" s="3" t="s">
        <v>4675</v>
      </c>
    </row>
    <row r="357" spans="1:56" ht="45" customHeight="1" x14ac:dyDescent="0.25">
      <c r="A357" s="8" t="s">
        <v>58</v>
      </c>
      <c r="B357" s="2" t="s">
        <v>4676</v>
      </c>
      <c r="C357" s="2" t="s">
        <v>4677</v>
      </c>
      <c r="D357" s="2" t="s">
        <v>4678</v>
      </c>
      <c r="F357" s="3" t="s">
        <v>58</v>
      </c>
      <c r="G357" s="3" t="s">
        <v>59</v>
      </c>
      <c r="H357" s="3" t="s">
        <v>68</v>
      </c>
      <c r="I357" s="3" t="s">
        <v>58</v>
      </c>
      <c r="J357" s="3" t="s">
        <v>60</v>
      </c>
      <c r="L357" s="2" t="s">
        <v>1355</v>
      </c>
      <c r="M357" s="3" t="s">
        <v>681</v>
      </c>
      <c r="O357" s="3" t="s">
        <v>64</v>
      </c>
      <c r="P357" s="3" t="s">
        <v>177</v>
      </c>
      <c r="Q357" s="2" t="s">
        <v>4679</v>
      </c>
      <c r="R357" s="3" t="s">
        <v>66</v>
      </c>
      <c r="S357" s="4">
        <v>24</v>
      </c>
      <c r="T357" s="4">
        <v>24</v>
      </c>
      <c r="U357" s="5" t="s">
        <v>876</v>
      </c>
      <c r="V357" s="5" t="s">
        <v>876</v>
      </c>
      <c r="W357" s="5" t="s">
        <v>4680</v>
      </c>
      <c r="X357" s="5" t="s">
        <v>4680</v>
      </c>
      <c r="Y357" s="4">
        <v>314</v>
      </c>
      <c r="Z357" s="4">
        <v>283</v>
      </c>
      <c r="AA357" s="4">
        <v>294</v>
      </c>
      <c r="AB357" s="4">
        <v>3</v>
      </c>
      <c r="AC357" s="4">
        <v>3</v>
      </c>
      <c r="AD357" s="4">
        <v>13</v>
      </c>
      <c r="AE357" s="4">
        <v>14</v>
      </c>
      <c r="AF357" s="4">
        <v>4</v>
      </c>
      <c r="AG357" s="4">
        <v>5</v>
      </c>
      <c r="AH357" s="4">
        <v>4</v>
      </c>
      <c r="AI357" s="4">
        <v>4</v>
      </c>
      <c r="AJ357" s="4">
        <v>8</v>
      </c>
      <c r="AK357" s="4">
        <v>9</v>
      </c>
      <c r="AL357" s="4">
        <v>1</v>
      </c>
      <c r="AM357" s="4">
        <v>1</v>
      </c>
      <c r="AN357" s="4">
        <v>0</v>
      </c>
      <c r="AO357" s="4">
        <v>0</v>
      </c>
      <c r="AP357" s="3" t="s">
        <v>58</v>
      </c>
      <c r="AQ357" s="3" t="s">
        <v>68</v>
      </c>
      <c r="AR357" s="6" t="str">
        <f>HYPERLINK("http://catalog.hathitrust.org/Record/000773333","HathiTrust Record")</f>
        <v>HathiTrust Record</v>
      </c>
      <c r="AS357" s="6" t="str">
        <f>HYPERLINK("https://creighton-primo.hosted.exlibrisgroup.com/primo-explore/search?tab=default_tab&amp;search_scope=EVERYTHING&amp;vid=01CRU&amp;lang=en_US&amp;offset=0&amp;query=any,contains,991000251649702656","Catalog Record")</f>
        <v>Catalog Record</v>
      </c>
      <c r="AT357" s="6" t="str">
        <f>HYPERLINK("http://www.worldcat.org/oclc/9758511","WorldCat Record")</f>
        <v>WorldCat Record</v>
      </c>
      <c r="AU357" s="3" t="s">
        <v>4681</v>
      </c>
      <c r="AV357" s="3" t="s">
        <v>4682</v>
      </c>
      <c r="AW357" s="3" t="s">
        <v>4683</v>
      </c>
      <c r="AX357" s="3" t="s">
        <v>4683</v>
      </c>
      <c r="AY357" s="3" t="s">
        <v>4684</v>
      </c>
      <c r="AZ357" s="3" t="s">
        <v>73</v>
      </c>
      <c r="BB357" s="3" t="s">
        <v>4685</v>
      </c>
      <c r="BC357" s="3" t="s">
        <v>4686</v>
      </c>
      <c r="BD357" s="3" t="s">
        <v>4687</v>
      </c>
    </row>
    <row r="358" spans="1:56" ht="45" customHeight="1" x14ac:dyDescent="0.25">
      <c r="A358" s="8" t="s">
        <v>58</v>
      </c>
      <c r="B358" s="2" t="s">
        <v>4688</v>
      </c>
      <c r="C358" s="2" t="s">
        <v>4689</v>
      </c>
      <c r="D358" s="2" t="s">
        <v>4690</v>
      </c>
      <c r="F358" s="3" t="s">
        <v>58</v>
      </c>
      <c r="G358" s="3" t="s">
        <v>59</v>
      </c>
      <c r="H358" s="3" t="s">
        <v>58</v>
      </c>
      <c r="I358" s="3" t="s">
        <v>58</v>
      </c>
      <c r="J358" s="3" t="s">
        <v>60</v>
      </c>
      <c r="L358" s="2" t="s">
        <v>4691</v>
      </c>
      <c r="M358" s="3" t="s">
        <v>681</v>
      </c>
      <c r="O358" s="3" t="s">
        <v>64</v>
      </c>
      <c r="P358" s="3" t="s">
        <v>177</v>
      </c>
      <c r="R358" s="3" t="s">
        <v>66</v>
      </c>
      <c r="S358" s="4">
        <v>27</v>
      </c>
      <c r="T358" s="4">
        <v>27</v>
      </c>
      <c r="U358" s="5" t="s">
        <v>4432</v>
      </c>
      <c r="V358" s="5" t="s">
        <v>4432</v>
      </c>
      <c r="W358" s="5" t="s">
        <v>4692</v>
      </c>
      <c r="X358" s="5" t="s">
        <v>4692</v>
      </c>
      <c r="Y358" s="4">
        <v>263</v>
      </c>
      <c r="Z358" s="4">
        <v>224</v>
      </c>
      <c r="AA358" s="4">
        <v>230</v>
      </c>
      <c r="AB358" s="4">
        <v>4</v>
      </c>
      <c r="AC358" s="4">
        <v>4</v>
      </c>
      <c r="AD358" s="4">
        <v>8</v>
      </c>
      <c r="AE358" s="4">
        <v>8</v>
      </c>
      <c r="AF358" s="4">
        <v>2</v>
      </c>
      <c r="AG358" s="4">
        <v>2</v>
      </c>
      <c r="AH358" s="4">
        <v>0</v>
      </c>
      <c r="AI358" s="4">
        <v>0</v>
      </c>
      <c r="AJ358" s="4">
        <v>3</v>
      </c>
      <c r="AK358" s="4">
        <v>3</v>
      </c>
      <c r="AL358" s="4">
        <v>3</v>
      </c>
      <c r="AM358" s="4">
        <v>3</v>
      </c>
      <c r="AN358" s="4">
        <v>0</v>
      </c>
      <c r="AO358" s="4">
        <v>0</v>
      </c>
      <c r="AP358" s="3" t="s">
        <v>58</v>
      </c>
      <c r="AQ358" s="3" t="s">
        <v>58</v>
      </c>
      <c r="AS358" s="6" t="str">
        <f>HYPERLINK("https://creighton-primo.hosted.exlibrisgroup.com/primo-explore/search?tab=default_tab&amp;search_scope=EVERYTHING&amp;vid=01CRU&amp;lang=en_US&amp;offset=0&amp;query=any,contains,991000146239702656","Catalog Record")</f>
        <v>Catalog Record</v>
      </c>
      <c r="AT358" s="6" t="str">
        <f>HYPERLINK("http://www.worldcat.org/oclc/9195542","WorldCat Record")</f>
        <v>WorldCat Record</v>
      </c>
      <c r="AU358" s="3" t="s">
        <v>4693</v>
      </c>
      <c r="AV358" s="3" t="s">
        <v>4694</v>
      </c>
      <c r="AW358" s="3" t="s">
        <v>4695</v>
      </c>
      <c r="AX358" s="3" t="s">
        <v>4695</v>
      </c>
      <c r="AY358" s="3" t="s">
        <v>4696</v>
      </c>
      <c r="AZ358" s="3" t="s">
        <v>73</v>
      </c>
      <c r="BB358" s="3" t="s">
        <v>4697</v>
      </c>
      <c r="BC358" s="3" t="s">
        <v>4698</v>
      </c>
      <c r="BD358" s="3" t="s">
        <v>4699</v>
      </c>
    </row>
    <row r="359" spans="1:56" ht="45" customHeight="1" x14ac:dyDescent="0.25">
      <c r="A359" s="8" t="s">
        <v>58</v>
      </c>
      <c r="B359" s="2" t="s">
        <v>4700</v>
      </c>
      <c r="C359" s="2" t="s">
        <v>4701</v>
      </c>
      <c r="D359" s="2" t="s">
        <v>4702</v>
      </c>
      <c r="F359" s="3" t="s">
        <v>58</v>
      </c>
      <c r="G359" s="3" t="s">
        <v>59</v>
      </c>
      <c r="H359" s="3" t="s">
        <v>58</v>
      </c>
      <c r="I359" s="3" t="s">
        <v>58</v>
      </c>
      <c r="J359" s="3" t="s">
        <v>60</v>
      </c>
      <c r="L359" s="2" t="s">
        <v>4703</v>
      </c>
      <c r="M359" s="3" t="s">
        <v>378</v>
      </c>
      <c r="O359" s="3" t="s">
        <v>64</v>
      </c>
      <c r="P359" s="3" t="s">
        <v>65</v>
      </c>
      <c r="Q359" s="2" t="s">
        <v>4704</v>
      </c>
      <c r="R359" s="3" t="s">
        <v>66</v>
      </c>
      <c r="S359" s="4">
        <v>15</v>
      </c>
      <c r="T359" s="4">
        <v>15</v>
      </c>
      <c r="U359" s="5" t="s">
        <v>4705</v>
      </c>
      <c r="V359" s="5" t="s">
        <v>4705</v>
      </c>
      <c r="W359" s="5" t="s">
        <v>4692</v>
      </c>
      <c r="X359" s="5" t="s">
        <v>4692</v>
      </c>
      <c r="Y359" s="4">
        <v>318</v>
      </c>
      <c r="Z359" s="4">
        <v>263</v>
      </c>
      <c r="AA359" s="4">
        <v>267</v>
      </c>
      <c r="AB359" s="4">
        <v>3</v>
      </c>
      <c r="AC359" s="4">
        <v>3</v>
      </c>
      <c r="AD359" s="4">
        <v>13</v>
      </c>
      <c r="AE359" s="4">
        <v>13</v>
      </c>
      <c r="AF359" s="4">
        <v>4</v>
      </c>
      <c r="AG359" s="4">
        <v>4</v>
      </c>
      <c r="AH359" s="4">
        <v>3</v>
      </c>
      <c r="AI359" s="4">
        <v>3</v>
      </c>
      <c r="AJ359" s="4">
        <v>6</v>
      </c>
      <c r="AK359" s="4">
        <v>6</v>
      </c>
      <c r="AL359" s="4">
        <v>2</v>
      </c>
      <c r="AM359" s="4">
        <v>2</v>
      </c>
      <c r="AN359" s="4">
        <v>0</v>
      </c>
      <c r="AO359" s="4">
        <v>0</v>
      </c>
      <c r="AP359" s="3" t="s">
        <v>58</v>
      </c>
      <c r="AQ359" s="3" t="s">
        <v>58</v>
      </c>
      <c r="AS359" s="6" t="str">
        <f>HYPERLINK("https://creighton-primo.hosted.exlibrisgroup.com/primo-explore/search?tab=default_tab&amp;search_scope=EVERYTHING&amp;vid=01CRU&amp;lang=en_US&amp;offset=0&amp;query=any,contains,991000577129702656","Catalog Record")</f>
        <v>Catalog Record</v>
      </c>
      <c r="AT359" s="6" t="str">
        <f>HYPERLINK("http://www.worldcat.org/oclc/13524466","WorldCat Record")</f>
        <v>WorldCat Record</v>
      </c>
      <c r="AU359" s="3" t="s">
        <v>4706</v>
      </c>
      <c r="AV359" s="3" t="s">
        <v>4707</v>
      </c>
      <c r="AW359" s="3" t="s">
        <v>4708</v>
      </c>
      <c r="AX359" s="3" t="s">
        <v>4708</v>
      </c>
      <c r="AY359" s="3" t="s">
        <v>4709</v>
      </c>
      <c r="AZ359" s="3" t="s">
        <v>73</v>
      </c>
      <c r="BB359" s="3" t="s">
        <v>4710</v>
      </c>
      <c r="BC359" s="3" t="s">
        <v>4711</v>
      </c>
      <c r="BD359" s="3" t="s">
        <v>4712</v>
      </c>
    </row>
    <row r="360" spans="1:56" ht="45" customHeight="1" x14ac:dyDescent="0.25">
      <c r="A360" s="8" t="s">
        <v>58</v>
      </c>
      <c r="B360" s="2" t="s">
        <v>4713</v>
      </c>
      <c r="C360" s="2" t="s">
        <v>4714</v>
      </c>
      <c r="D360" s="2" t="s">
        <v>4715</v>
      </c>
      <c r="F360" s="3" t="s">
        <v>58</v>
      </c>
      <c r="G360" s="3" t="s">
        <v>59</v>
      </c>
      <c r="H360" s="3" t="s">
        <v>68</v>
      </c>
      <c r="I360" s="3" t="s">
        <v>58</v>
      </c>
      <c r="J360" s="3" t="s">
        <v>60</v>
      </c>
      <c r="K360" s="2" t="s">
        <v>4716</v>
      </c>
      <c r="L360" s="2" t="s">
        <v>4717</v>
      </c>
      <c r="M360" s="3" t="s">
        <v>407</v>
      </c>
      <c r="O360" s="3" t="s">
        <v>64</v>
      </c>
      <c r="P360" s="3" t="s">
        <v>177</v>
      </c>
      <c r="R360" s="3" t="s">
        <v>66</v>
      </c>
      <c r="S360" s="4">
        <v>26</v>
      </c>
      <c r="T360" s="4">
        <v>33</v>
      </c>
      <c r="U360" s="5" t="s">
        <v>4705</v>
      </c>
      <c r="V360" s="5" t="s">
        <v>4705</v>
      </c>
      <c r="W360" s="5" t="s">
        <v>4692</v>
      </c>
      <c r="X360" s="5" t="s">
        <v>4692</v>
      </c>
      <c r="Y360" s="4">
        <v>429</v>
      </c>
      <c r="Z360" s="4">
        <v>340</v>
      </c>
      <c r="AA360" s="4">
        <v>443</v>
      </c>
      <c r="AB360" s="4">
        <v>6</v>
      </c>
      <c r="AC360" s="4">
        <v>6</v>
      </c>
      <c r="AD360" s="4">
        <v>20</v>
      </c>
      <c r="AE360" s="4">
        <v>21</v>
      </c>
      <c r="AF360" s="4">
        <v>6</v>
      </c>
      <c r="AG360" s="4">
        <v>6</v>
      </c>
      <c r="AH360" s="4">
        <v>5</v>
      </c>
      <c r="AI360" s="4">
        <v>5</v>
      </c>
      <c r="AJ360" s="4">
        <v>11</v>
      </c>
      <c r="AK360" s="4">
        <v>12</v>
      </c>
      <c r="AL360" s="4">
        <v>4</v>
      </c>
      <c r="AM360" s="4">
        <v>4</v>
      </c>
      <c r="AN360" s="4">
        <v>0</v>
      </c>
      <c r="AO360" s="4">
        <v>0</v>
      </c>
      <c r="AP360" s="3" t="s">
        <v>68</v>
      </c>
      <c r="AQ360" s="3" t="s">
        <v>58</v>
      </c>
      <c r="AR360" s="6" t="str">
        <f>HYPERLINK("http://catalog.hathitrust.org/Record/100716786","HathiTrust Record")</f>
        <v>HathiTrust Record</v>
      </c>
      <c r="AS360" s="6" t="str">
        <f>HYPERLINK("https://creighton-primo.hosted.exlibrisgroup.com/primo-explore/search?tab=default_tab&amp;search_scope=EVERYTHING&amp;vid=01CRU&amp;lang=en_US&amp;offset=0&amp;query=any,contains,991001781729702656","Catalog Record")</f>
        <v>Catalog Record</v>
      </c>
      <c r="AT360" s="6" t="str">
        <f>HYPERLINK("http://www.worldcat.org/oclc/3003304","WorldCat Record")</f>
        <v>WorldCat Record</v>
      </c>
      <c r="AU360" s="3" t="s">
        <v>4718</v>
      </c>
      <c r="AV360" s="3" t="s">
        <v>4719</v>
      </c>
      <c r="AW360" s="3" t="s">
        <v>4720</v>
      </c>
      <c r="AX360" s="3" t="s">
        <v>4720</v>
      </c>
      <c r="AY360" s="3" t="s">
        <v>4721</v>
      </c>
      <c r="AZ360" s="3" t="s">
        <v>73</v>
      </c>
      <c r="BB360" s="3" t="s">
        <v>4722</v>
      </c>
      <c r="BC360" s="3" t="s">
        <v>4723</v>
      </c>
      <c r="BD360" s="3" t="s">
        <v>4724</v>
      </c>
    </row>
    <row r="361" spans="1:56" ht="45" customHeight="1" x14ac:dyDescent="0.25">
      <c r="A361" s="8" t="s">
        <v>58</v>
      </c>
      <c r="B361" s="2" t="s">
        <v>4725</v>
      </c>
      <c r="C361" s="2" t="s">
        <v>4726</v>
      </c>
      <c r="D361" s="2" t="s">
        <v>4727</v>
      </c>
      <c r="F361" s="3" t="s">
        <v>58</v>
      </c>
      <c r="G361" s="3" t="s">
        <v>59</v>
      </c>
      <c r="H361" s="3" t="s">
        <v>58</v>
      </c>
      <c r="I361" s="3" t="s">
        <v>58</v>
      </c>
      <c r="J361" s="3" t="s">
        <v>60</v>
      </c>
      <c r="L361" s="2" t="s">
        <v>4728</v>
      </c>
      <c r="M361" s="3" t="s">
        <v>82</v>
      </c>
      <c r="O361" s="3" t="s">
        <v>64</v>
      </c>
      <c r="P361" s="3" t="s">
        <v>177</v>
      </c>
      <c r="R361" s="3" t="s">
        <v>66</v>
      </c>
      <c r="S361" s="4">
        <v>23</v>
      </c>
      <c r="T361" s="4">
        <v>23</v>
      </c>
      <c r="U361" s="5" t="s">
        <v>3176</v>
      </c>
      <c r="V361" s="5" t="s">
        <v>3176</v>
      </c>
      <c r="W361" s="5" t="s">
        <v>321</v>
      </c>
      <c r="X361" s="5" t="s">
        <v>321</v>
      </c>
      <c r="Y361" s="4">
        <v>477</v>
      </c>
      <c r="Z361" s="4">
        <v>398</v>
      </c>
      <c r="AA361" s="4">
        <v>405</v>
      </c>
      <c r="AB361" s="4">
        <v>4</v>
      </c>
      <c r="AC361" s="4">
        <v>4</v>
      </c>
      <c r="AD361" s="4">
        <v>15</v>
      </c>
      <c r="AE361" s="4">
        <v>15</v>
      </c>
      <c r="AF361" s="4">
        <v>4</v>
      </c>
      <c r="AG361" s="4">
        <v>4</v>
      </c>
      <c r="AH361" s="4">
        <v>3</v>
      </c>
      <c r="AI361" s="4">
        <v>3</v>
      </c>
      <c r="AJ361" s="4">
        <v>9</v>
      </c>
      <c r="AK361" s="4">
        <v>9</v>
      </c>
      <c r="AL361" s="4">
        <v>2</v>
      </c>
      <c r="AM361" s="4">
        <v>2</v>
      </c>
      <c r="AN361" s="4">
        <v>0</v>
      </c>
      <c r="AO361" s="4">
        <v>0</v>
      </c>
      <c r="AP361" s="3" t="s">
        <v>58</v>
      </c>
      <c r="AQ361" s="3" t="s">
        <v>68</v>
      </c>
      <c r="AR361" s="6" t="str">
        <f>HYPERLINK("http://catalog.hathitrust.org/Record/000688827","HathiTrust Record")</f>
        <v>HathiTrust Record</v>
      </c>
      <c r="AS361" s="6" t="str">
        <f>HYPERLINK("https://creighton-primo.hosted.exlibrisgroup.com/primo-explore/search?tab=default_tab&amp;search_scope=EVERYTHING&amp;vid=01CRU&amp;lang=en_US&amp;offset=0&amp;query=any,contains,991005257639702656","Catalog Record")</f>
        <v>Catalog Record</v>
      </c>
      <c r="AT361" s="6" t="str">
        <f>HYPERLINK("http://www.worldcat.org/oclc/4983440","WorldCat Record")</f>
        <v>WorldCat Record</v>
      </c>
      <c r="AU361" s="3" t="s">
        <v>4729</v>
      </c>
      <c r="AV361" s="3" t="s">
        <v>4730</v>
      </c>
      <c r="AW361" s="3" t="s">
        <v>4731</v>
      </c>
      <c r="AX361" s="3" t="s">
        <v>4731</v>
      </c>
      <c r="AY361" s="3" t="s">
        <v>4732</v>
      </c>
      <c r="AZ361" s="3" t="s">
        <v>73</v>
      </c>
      <c r="BB361" s="3" t="s">
        <v>4733</v>
      </c>
      <c r="BC361" s="3" t="s">
        <v>4734</v>
      </c>
      <c r="BD361" s="3" t="s">
        <v>4735</v>
      </c>
    </row>
    <row r="362" spans="1:56" ht="45" customHeight="1" x14ac:dyDescent="0.25">
      <c r="A362" s="8" t="s">
        <v>58</v>
      </c>
      <c r="B362" s="2" t="s">
        <v>4736</v>
      </c>
      <c r="C362" s="2" t="s">
        <v>4737</v>
      </c>
      <c r="D362" s="2" t="s">
        <v>4738</v>
      </c>
      <c r="F362" s="3" t="s">
        <v>58</v>
      </c>
      <c r="G362" s="3" t="s">
        <v>59</v>
      </c>
      <c r="H362" s="3" t="s">
        <v>68</v>
      </c>
      <c r="I362" s="3" t="s">
        <v>58</v>
      </c>
      <c r="J362" s="3" t="s">
        <v>60</v>
      </c>
      <c r="L362" s="2" t="s">
        <v>3967</v>
      </c>
      <c r="M362" s="3" t="s">
        <v>494</v>
      </c>
      <c r="O362" s="3" t="s">
        <v>64</v>
      </c>
      <c r="P362" s="3" t="s">
        <v>177</v>
      </c>
      <c r="R362" s="3" t="s">
        <v>66</v>
      </c>
      <c r="S362" s="4">
        <v>26</v>
      </c>
      <c r="T362" s="4">
        <v>26</v>
      </c>
      <c r="U362" s="5" t="s">
        <v>4739</v>
      </c>
      <c r="V362" s="5" t="s">
        <v>4739</v>
      </c>
      <c r="W362" s="5" t="s">
        <v>1384</v>
      </c>
      <c r="X362" s="5" t="s">
        <v>1384</v>
      </c>
      <c r="Y362" s="4">
        <v>614</v>
      </c>
      <c r="Z362" s="4">
        <v>499</v>
      </c>
      <c r="AA362" s="4">
        <v>503</v>
      </c>
      <c r="AB362" s="4">
        <v>4</v>
      </c>
      <c r="AC362" s="4">
        <v>4</v>
      </c>
      <c r="AD362" s="4">
        <v>18</v>
      </c>
      <c r="AE362" s="4">
        <v>18</v>
      </c>
      <c r="AF362" s="4">
        <v>6</v>
      </c>
      <c r="AG362" s="4">
        <v>6</v>
      </c>
      <c r="AH362" s="4">
        <v>5</v>
      </c>
      <c r="AI362" s="4">
        <v>5</v>
      </c>
      <c r="AJ362" s="4">
        <v>10</v>
      </c>
      <c r="AK362" s="4">
        <v>10</v>
      </c>
      <c r="AL362" s="4">
        <v>2</v>
      </c>
      <c r="AM362" s="4">
        <v>2</v>
      </c>
      <c r="AN362" s="4">
        <v>0</v>
      </c>
      <c r="AO362" s="4">
        <v>0</v>
      </c>
      <c r="AP362" s="3" t="s">
        <v>58</v>
      </c>
      <c r="AQ362" s="3" t="s">
        <v>58</v>
      </c>
      <c r="AS362" s="6" t="str">
        <f>HYPERLINK("https://creighton-primo.hosted.exlibrisgroup.com/primo-explore/search?tab=default_tab&amp;search_scope=EVERYTHING&amp;vid=01CRU&amp;lang=en_US&amp;offset=0&amp;query=any,contains,991000588019702656","Catalog Record")</f>
        <v>Catalog Record</v>
      </c>
      <c r="AT362" s="6" t="str">
        <f>HYPERLINK("http://www.worldcat.org/oclc/11782868","WorldCat Record")</f>
        <v>WorldCat Record</v>
      </c>
      <c r="AU362" s="3" t="s">
        <v>4740</v>
      </c>
      <c r="AV362" s="3" t="s">
        <v>4741</v>
      </c>
      <c r="AW362" s="3" t="s">
        <v>4742</v>
      </c>
      <c r="AX362" s="3" t="s">
        <v>4742</v>
      </c>
      <c r="AY362" s="3" t="s">
        <v>4743</v>
      </c>
      <c r="AZ362" s="3" t="s">
        <v>73</v>
      </c>
      <c r="BB362" s="3" t="s">
        <v>4744</v>
      </c>
      <c r="BC362" s="3" t="s">
        <v>4745</v>
      </c>
      <c r="BD362" s="3" t="s">
        <v>4746</v>
      </c>
    </row>
    <row r="363" spans="1:56" ht="45" customHeight="1" x14ac:dyDescent="0.25">
      <c r="A363" s="8" t="s">
        <v>58</v>
      </c>
      <c r="B363" s="2" t="s">
        <v>4747</v>
      </c>
      <c r="C363" s="2" t="s">
        <v>4748</v>
      </c>
      <c r="D363" s="2" t="s">
        <v>4749</v>
      </c>
      <c r="F363" s="3" t="s">
        <v>58</v>
      </c>
      <c r="G363" s="3" t="s">
        <v>59</v>
      </c>
      <c r="H363" s="3" t="s">
        <v>58</v>
      </c>
      <c r="I363" s="3" t="s">
        <v>58</v>
      </c>
      <c r="J363" s="3" t="s">
        <v>60</v>
      </c>
      <c r="K363" s="2" t="s">
        <v>4750</v>
      </c>
      <c r="L363" s="2" t="s">
        <v>4751</v>
      </c>
      <c r="M363" s="3" t="s">
        <v>1166</v>
      </c>
      <c r="N363" s="2" t="s">
        <v>63</v>
      </c>
      <c r="O363" s="3" t="s">
        <v>64</v>
      </c>
      <c r="P363" s="3" t="s">
        <v>177</v>
      </c>
      <c r="R363" s="3" t="s">
        <v>66</v>
      </c>
      <c r="S363" s="4">
        <v>6</v>
      </c>
      <c r="T363" s="4">
        <v>6</v>
      </c>
      <c r="U363" s="5" t="s">
        <v>4739</v>
      </c>
      <c r="V363" s="5" t="s">
        <v>4739</v>
      </c>
      <c r="W363" s="5" t="s">
        <v>4752</v>
      </c>
      <c r="X363" s="5" t="s">
        <v>4752</v>
      </c>
      <c r="Y363" s="4">
        <v>620</v>
      </c>
      <c r="Z363" s="4">
        <v>575</v>
      </c>
      <c r="AA363" s="4">
        <v>671</v>
      </c>
      <c r="AB363" s="4">
        <v>6</v>
      </c>
      <c r="AC363" s="4">
        <v>6</v>
      </c>
      <c r="AD363" s="4">
        <v>5</v>
      </c>
      <c r="AE363" s="4">
        <v>6</v>
      </c>
      <c r="AF363" s="4">
        <v>1</v>
      </c>
      <c r="AG363" s="4">
        <v>2</v>
      </c>
      <c r="AH363" s="4">
        <v>0</v>
      </c>
      <c r="AI363" s="4">
        <v>0</v>
      </c>
      <c r="AJ363" s="4">
        <v>1</v>
      </c>
      <c r="AK363" s="4">
        <v>1</v>
      </c>
      <c r="AL363" s="4">
        <v>3</v>
      </c>
      <c r="AM363" s="4">
        <v>3</v>
      </c>
      <c r="AN363" s="4">
        <v>0</v>
      </c>
      <c r="AO363" s="4">
        <v>0</v>
      </c>
      <c r="AP363" s="3" t="s">
        <v>58</v>
      </c>
      <c r="AQ363" s="3" t="s">
        <v>58</v>
      </c>
      <c r="AS363" s="6" t="str">
        <f>HYPERLINK("https://creighton-primo.hosted.exlibrisgroup.com/primo-explore/search?tab=default_tab&amp;search_scope=EVERYTHING&amp;vid=01CRU&amp;lang=en_US&amp;offset=0&amp;query=any,contains,991002429029702656","Catalog Record")</f>
        <v>Catalog Record</v>
      </c>
      <c r="AT363" s="6" t="str">
        <f>HYPERLINK("http://www.worldcat.org/oclc/31658734","WorldCat Record")</f>
        <v>WorldCat Record</v>
      </c>
      <c r="AU363" s="3" t="s">
        <v>4753</v>
      </c>
      <c r="AV363" s="3" t="s">
        <v>4754</v>
      </c>
      <c r="AW363" s="3" t="s">
        <v>4755</v>
      </c>
      <c r="AX363" s="3" t="s">
        <v>4755</v>
      </c>
      <c r="AY363" s="3" t="s">
        <v>4756</v>
      </c>
      <c r="AZ363" s="3" t="s">
        <v>73</v>
      </c>
      <c r="BB363" s="3" t="s">
        <v>4757</v>
      </c>
      <c r="BC363" s="3" t="s">
        <v>4758</v>
      </c>
      <c r="BD363" s="3" t="s">
        <v>4759</v>
      </c>
    </row>
    <row r="364" spans="1:56" ht="45" customHeight="1" x14ac:dyDescent="0.25">
      <c r="A364" s="8" t="s">
        <v>58</v>
      </c>
      <c r="B364" s="2" t="s">
        <v>4760</v>
      </c>
      <c r="C364" s="2" t="s">
        <v>4761</v>
      </c>
      <c r="D364" s="2" t="s">
        <v>4762</v>
      </c>
      <c r="F364" s="3" t="s">
        <v>58</v>
      </c>
      <c r="G364" s="3" t="s">
        <v>59</v>
      </c>
      <c r="H364" s="3" t="s">
        <v>58</v>
      </c>
      <c r="I364" s="3" t="s">
        <v>58</v>
      </c>
      <c r="J364" s="3" t="s">
        <v>60</v>
      </c>
      <c r="K364" s="2" t="s">
        <v>4763</v>
      </c>
      <c r="L364" s="2" t="s">
        <v>4764</v>
      </c>
      <c r="M364" s="3" t="s">
        <v>681</v>
      </c>
      <c r="N364" s="2" t="s">
        <v>63</v>
      </c>
      <c r="O364" s="3" t="s">
        <v>64</v>
      </c>
      <c r="P364" s="3" t="s">
        <v>177</v>
      </c>
      <c r="R364" s="3" t="s">
        <v>66</v>
      </c>
      <c r="S364" s="4">
        <v>18</v>
      </c>
      <c r="T364" s="4">
        <v>18</v>
      </c>
      <c r="U364" s="5" t="s">
        <v>4765</v>
      </c>
      <c r="V364" s="5" t="s">
        <v>4765</v>
      </c>
      <c r="W364" s="5" t="s">
        <v>4680</v>
      </c>
      <c r="X364" s="5" t="s">
        <v>4680</v>
      </c>
      <c r="Y364" s="4">
        <v>876</v>
      </c>
      <c r="Z364" s="4">
        <v>794</v>
      </c>
      <c r="AA364" s="4">
        <v>811</v>
      </c>
      <c r="AB364" s="4">
        <v>4</v>
      </c>
      <c r="AC364" s="4">
        <v>4</v>
      </c>
      <c r="AD364" s="4">
        <v>24</v>
      </c>
      <c r="AE364" s="4">
        <v>24</v>
      </c>
      <c r="AF364" s="4">
        <v>10</v>
      </c>
      <c r="AG364" s="4">
        <v>10</v>
      </c>
      <c r="AH364" s="4">
        <v>5</v>
      </c>
      <c r="AI364" s="4">
        <v>5</v>
      </c>
      <c r="AJ364" s="4">
        <v>13</v>
      </c>
      <c r="AK364" s="4">
        <v>13</v>
      </c>
      <c r="AL364" s="4">
        <v>2</v>
      </c>
      <c r="AM364" s="4">
        <v>2</v>
      </c>
      <c r="AN364" s="4">
        <v>0</v>
      </c>
      <c r="AO364" s="4">
        <v>0</v>
      </c>
      <c r="AP364" s="3" t="s">
        <v>58</v>
      </c>
      <c r="AQ364" s="3" t="s">
        <v>58</v>
      </c>
      <c r="AS364" s="6" t="str">
        <f>HYPERLINK("https://creighton-primo.hosted.exlibrisgroup.com/primo-explore/search?tab=default_tab&amp;search_scope=EVERYTHING&amp;vid=01CRU&amp;lang=en_US&amp;offset=0&amp;query=any,contains,991000126189702656","Catalog Record")</f>
        <v>Catalog Record</v>
      </c>
      <c r="AT364" s="6" t="str">
        <f>HYPERLINK("http://www.worldcat.org/oclc/9044250","WorldCat Record")</f>
        <v>WorldCat Record</v>
      </c>
      <c r="AU364" s="3" t="s">
        <v>4766</v>
      </c>
      <c r="AV364" s="3" t="s">
        <v>4767</v>
      </c>
      <c r="AW364" s="3" t="s">
        <v>4768</v>
      </c>
      <c r="AX364" s="3" t="s">
        <v>4768</v>
      </c>
      <c r="AY364" s="3" t="s">
        <v>4769</v>
      </c>
      <c r="AZ364" s="3" t="s">
        <v>73</v>
      </c>
      <c r="BB364" s="3" t="s">
        <v>4770</v>
      </c>
      <c r="BC364" s="3" t="s">
        <v>4771</v>
      </c>
      <c r="BD364" s="3" t="s">
        <v>4772</v>
      </c>
    </row>
    <row r="365" spans="1:56" ht="45" customHeight="1" x14ac:dyDescent="0.25">
      <c r="A365" s="8" t="s">
        <v>58</v>
      </c>
      <c r="B365" s="2" t="s">
        <v>4773</v>
      </c>
      <c r="C365" s="2" t="s">
        <v>4774</v>
      </c>
      <c r="D365" s="2" t="s">
        <v>4775</v>
      </c>
      <c r="F365" s="3" t="s">
        <v>58</v>
      </c>
      <c r="G365" s="3" t="s">
        <v>59</v>
      </c>
      <c r="H365" s="3" t="s">
        <v>58</v>
      </c>
      <c r="I365" s="3" t="s">
        <v>58</v>
      </c>
      <c r="J365" s="3" t="s">
        <v>60</v>
      </c>
      <c r="K365" s="2" t="s">
        <v>4776</v>
      </c>
      <c r="L365" s="2" t="s">
        <v>3651</v>
      </c>
      <c r="M365" s="3" t="s">
        <v>450</v>
      </c>
      <c r="O365" s="3" t="s">
        <v>64</v>
      </c>
      <c r="P365" s="3" t="s">
        <v>177</v>
      </c>
      <c r="Q365" s="2" t="s">
        <v>2482</v>
      </c>
      <c r="R365" s="3" t="s">
        <v>66</v>
      </c>
      <c r="S365" s="4">
        <v>32</v>
      </c>
      <c r="T365" s="4">
        <v>32</v>
      </c>
      <c r="U365" s="5" t="s">
        <v>4739</v>
      </c>
      <c r="V365" s="5" t="s">
        <v>4739</v>
      </c>
      <c r="W365" s="5" t="s">
        <v>4777</v>
      </c>
      <c r="X365" s="5" t="s">
        <v>4777</v>
      </c>
      <c r="Y365" s="4">
        <v>445</v>
      </c>
      <c r="Z365" s="4">
        <v>366</v>
      </c>
      <c r="AA365" s="4">
        <v>374</v>
      </c>
      <c r="AB365" s="4">
        <v>2</v>
      </c>
      <c r="AC365" s="4">
        <v>2</v>
      </c>
      <c r="AD365" s="4">
        <v>20</v>
      </c>
      <c r="AE365" s="4">
        <v>20</v>
      </c>
      <c r="AF365" s="4">
        <v>7</v>
      </c>
      <c r="AG365" s="4">
        <v>7</v>
      </c>
      <c r="AH365" s="4">
        <v>6</v>
      </c>
      <c r="AI365" s="4">
        <v>6</v>
      </c>
      <c r="AJ365" s="4">
        <v>11</v>
      </c>
      <c r="AK365" s="4">
        <v>11</v>
      </c>
      <c r="AL365" s="4">
        <v>1</v>
      </c>
      <c r="AM365" s="4">
        <v>1</v>
      </c>
      <c r="AN365" s="4">
        <v>0</v>
      </c>
      <c r="AO365" s="4">
        <v>0</v>
      </c>
      <c r="AP365" s="3" t="s">
        <v>58</v>
      </c>
      <c r="AQ365" s="3" t="s">
        <v>68</v>
      </c>
      <c r="AR365" s="6" t="str">
        <f>HYPERLINK("http://catalog.hathitrust.org/Record/000809195","HathiTrust Record")</f>
        <v>HathiTrust Record</v>
      </c>
      <c r="AS365" s="6" t="str">
        <f>HYPERLINK("https://creighton-primo.hosted.exlibrisgroup.com/primo-explore/search?tab=default_tab&amp;search_scope=EVERYTHING&amp;vid=01CRU&amp;lang=en_US&amp;offset=0&amp;query=any,contains,991000955849702656","Catalog Record")</f>
        <v>Catalog Record</v>
      </c>
      <c r="AT365" s="6" t="str">
        <f>HYPERLINK("http://www.worldcat.org/oclc/14717933","WorldCat Record")</f>
        <v>WorldCat Record</v>
      </c>
      <c r="AU365" s="3" t="s">
        <v>4778</v>
      </c>
      <c r="AV365" s="3" t="s">
        <v>4779</v>
      </c>
      <c r="AW365" s="3" t="s">
        <v>4780</v>
      </c>
      <c r="AX365" s="3" t="s">
        <v>4780</v>
      </c>
      <c r="AY365" s="3" t="s">
        <v>4781</v>
      </c>
      <c r="AZ365" s="3" t="s">
        <v>73</v>
      </c>
      <c r="BC365" s="3" t="s">
        <v>4782</v>
      </c>
      <c r="BD365" s="3" t="s">
        <v>4783</v>
      </c>
    </row>
    <row r="366" spans="1:56" ht="45" customHeight="1" x14ac:dyDescent="0.25">
      <c r="A366" s="8" t="s">
        <v>58</v>
      </c>
      <c r="B366" s="2" t="s">
        <v>4784</v>
      </c>
      <c r="C366" s="2" t="s">
        <v>4785</v>
      </c>
      <c r="D366" s="2" t="s">
        <v>4786</v>
      </c>
      <c r="F366" s="3" t="s">
        <v>58</v>
      </c>
      <c r="G366" s="3" t="s">
        <v>59</v>
      </c>
      <c r="H366" s="3" t="s">
        <v>58</v>
      </c>
      <c r="I366" s="3" t="s">
        <v>58</v>
      </c>
      <c r="J366" s="3" t="s">
        <v>60</v>
      </c>
      <c r="L366" s="2" t="s">
        <v>4787</v>
      </c>
      <c r="M366" s="3" t="s">
        <v>552</v>
      </c>
      <c r="O366" s="3" t="s">
        <v>64</v>
      </c>
      <c r="P366" s="3" t="s">
        <v>177</v>
      </c>
      <c r="R366" s="3" t="s">
        <v>66</v>
      </c>
      <c r="S366" s="4">
        <v>4</v>
      </c>
      <c r="T366" s="4">
        <v>4</v>
      </c>
      <c r="U366" s="5" t="s">
        <v>4788</v>
      </c>
      <c r="V366" s="5" t="s">
        <v>4788</v>
      </c>
      <c r="W366" s="5" t="s">
        <v>4789</v>
      </c>
      <c r="X366" s="5" t="s">
        <v>4789</v>
      </c>
      <c r="Y366" s="4">
        <v>405</v>
      </c>
      <c r="Z366" s="4">
        <v>315</v>
      </c>
      <c r="AA366" s="4">
        <v>327</v>
      </c>
      <c r="AB366" s="4">
        <v>3</v>
      </c>
      <c r="AC366" s="4">
        <v>3</v>
      </c>
      <c r="AD366" s="4">
        <v>15</v>
      </c>
      <c r="AE366" s="4">
        <v>15</v>
      </c>
      <c r="AF366" s="4">
        <v>4</v>
      </c>
      <c r="AG366" s="4">
        <v>4</v>
      </c>
      <c r="AH366" s="4">
        <v>4</v>
      </c>
      <c r="AI366" s="4">
        <v>4</v>
      </c>
      <c r="AJ366" s="4">
        <v>9</v>
      </c>
      <c r="AK366" s="4">
        <v>9</v>
      </c>
      <c r="AL366" s="4">
        <v>2</v>
      </c>
      <c r="AM366" s="4">
        <v>2</v>
      </c>
      <c r="AN366" s="4">
        <v>0</v>
      </c>
      <c r="AO366" s="4">
        <v>0</v>
      </c>
      <c r="AP366" s="3" t="s">
        <v>58</v>
      </c>
      <c r="AQ366" s="3" t="s">
        <v>68</v>
      </c>
      <c r="AR366" s="6" t="str">
        <f>HYPERLINK("http://catalog.hathitrust.org/Record/001533257","HathiTrust Record")</f>
        <v>HathiTrust Record</v>
      </c>
      <c r="AS366" s="6" t="str">
        <f>HYPERLINK("https://creighton-primo.hosted.exlibrisgroup.com/primo-explore/search?tab=default_tab&amp;search_scope=EVERYTHING&amp;vid=01CRU&amp;lang=en_US&amp;offset=0&amp;query=any,contains,991001445099702656","Catalog Record")</f>
        <v>Catalog Record</v>
      </c>
      <c r="AT366" s="6" t="str">
        <f>HYPERLINK("http://www.worldcat.org/oclc/19268734","WorldCat Record")</f>
        <v>WorldCat Record</v>
      </c>
      <c r="AU366" s="3" t="s">
        <v>4790</v>
      </c>
      <c r="AV366" s="3" t="s">
        <v>4791</v>
      </c>
      <c r="AW366" s="3" t="s">
        <v>4792</v>
      </c>
      <c r="AX366" s="3" t="s">
        <v>4792</v>
      </c>
      <c r="AY366" s="3" t="s">
        <v>4793</v>
      </c>
      <c r="AZ366" s="3" t="s">
        <v>73</v>
      </c>
      <c r="BB366" s="3" t="s">
        <v>4794</v>
      </c>
      <c r="BC366" s="3" t="s">
        <v>4795</v>
      </c>
      <c r="BD366" s="3" t="s">
        <v>4796</v>
      </c>
    </row>
    <row r="367" spans="1:56" ht="45" customHeight="1" x14ac:dyDescent="0.25">
      <c r="A367" s="8" t="s">
        <v>58</v>
      </c>
      <c r="B367" s="2" t="s">
        <v>4797</v>
      </c>
      <c r="C367" s="2" t="s">
        <v>4798</v>
      </c>
      <c r="D367" s="2" t="s">
        <v>4799</v>
      </c>
      <c r="F367" s="3" t="s">
        <v>58</v>
      </c>
      <c r="G367" s="3" t="s">
        <v>59</v>
      </c>
      <c r="H367" s="3" t="s">
        <v>58</v>
      </c>
      <c r="I367" s="3" t="s">
        <v>58</v>
      </c>
      <c r="J367" s="3" t="s">
        <v>60</v>
      </c>
      <c r="K367" s="2" t="s">
        <v>4800</v>
      </c>
      <c r="L367" s="2" t="s">
        <v>4801</v>
      </c>
      <c r="M367" s="3" t="s">
        <v>146</v>
      </c>
      <c r="O367" s="3" t="s">
        <v>64</v>
      </c>
      <c r="P367" s="3" t="s">
        <v>177</v>
      </c>
      <c r="R367" s="3" t="s">
        <v>66</v>
      </c>
      <c r="S367" s="4">
        <v>7</v>
      </c>
      <c r="T367" s="4">
        <v>7</v>
      </c>
      <c r="U367" s="5" t="s">
        <v>4802</v>
      </c>
      <c r="V367" s="5" t="s">
        <v>4802</v>
      </c>
      <c r="W367" s="5" t="s">
        <v>4803</v>
      </c>
      <c r="X367" s="5" t="s">
        <v>4803</v>
      </c>
      <c r="Y367" s="4">
        <v>492</v>
      </c>
      <c r="Z367" s="4">
        <v>419</v>
      </c>
      <c r="AA367" s="4">
        <v>420</v>
      </c>
      <c r="AB367" s="4">
        <v>1</v>
      </c>
      <c r="AC367" s="4">
        <v>1</v>
      </c>
      <c r="AD367" s="4">
        <v>22</v>
      </c>
      <c r="AE367" s="4">
        <v>22</v>
      </c>
      <c r="AF367" s="4">
        <v>8</v>
      </c>
      <c r="AG367" s="4">
        <v>8</v>
      </c>
      <c r="AH367" s="4">
        <v>4</v>
      </c>
      <c r="AI367" s="4">
        <v>4</v>
      </c>
      <c r="AJ367" s="4">
        <v>14</v>
      </c>
      <c r="AK367" s="4">
        <v>14</v>
      </c>
      <c r="AL367" s="4">
        <v>0</v>
      </c>
      <c r="AM367" s="4">
        <v>0</v>
      </c>
      <c r="AN367" s="4">
        <v>0</v>
      </c>
      <c r="AO367" s="4">
        <v>0</v>
      </c>
      <c r="AP367" s="3" t="s">
        <v>58</v>
      </c>
      <c r="AQ367" s="3" t="s">
        <v>58</v>
      </c>
      <c r="AS367" s="6" t="str">
        <f>HYPERLINK("https://creighton-primo.hosted.exlibrisgroup.com/primo-explore/search?tab=default_tab&amp;search_scope=EVERYTHING&amp;vid=01CRU&amp;lang=en_US&amp;offset=0&amp;query=any,contains,991002808249702656","Catalog Record")</f>
        <v>Catalog Record</v>
      </c>
      <c r="AT367" s="6" t="str">
        <f>HYPERLINK("http://www.worldcat.org/oclc/36892867","WorldCat Record")</f>
        <v>WorldCat Record</v>
      </c>
      <c r="AU367" s="3" t="s">
        <v>4804</v>
      </c>
      <c r="AV367" s="3" t="s">
        <v>4805</v>
      </c>
      <c r="AW367" s="3" t="s">
        <v>4806</v>
      </c>
      <c r="AX367" s="3" t="s">
        <v>4806</v>
      </c>
      <c r="AY367" s="3" t="s">
        <v>4807</v>
      </c>
      <c r="AZ367" s="3" t="s">
        <v>73</v>
      </c>
      <c r="BB367" s="3" t="s">
        <v>4808</v>
      </c>
      <c r="BC367" s="3" t="s">
        <v>4809</v>
      </c>
      <c r="BD367" s="3" t="s">
        <v>4810</v>
      </c>
    </row>
    <row r="368" spans="1:56" ht="45" customHeight="1" x14ac:dyDescent="0.25">
      <c r="A368" s="8" t="s">
        <v>58</v>
      </c>
      <c r="B368" s="2" t="s">
        <v>4811</v>
      </c>
      <c r="C368" s="2" t="s">
        <v>4812</v>
      </c>
      <c r="D368" s="2" t="s">
        <v>4813</v>
      </c>
      <c r="F368" s="3" t="s">
        <v>58</v>
      </c>
      <c r="G368" s="3" t="s">
        <v>59</v>
      </c>
      <c r="H368" s="3" t="s">
        <v>58</v>
      </c>
      <c r="I368" s="3" t="s">
        <v>58</v>
      </c>
      <c r="J368" s="3" t="s">
        <v>60</v>
      </c>
      <c r="K368" s="2" t="s">
        <v>4814</v>
      </c>
      <c r="L368" s="2" t="s">
        <v>4815</v>
      </c>
      <c r="M368" s="3" t="s">
        <v>129</v>
      </c>
      <c r="O368" s="3" t="s">
        <v>64</v>
      </c>
      <c r="P368" s="3" t="s">
        <v>177</v>
      </c>
      <c r="R368" s="3" t="s">
        <v>66</v>
      </c>
      <c r="S368" s="4">
        <v>13</v>
      </c>
      <c r="T368" s="4">
        <v>13</v>
      </c>
      <c r="U368" s="5" t="s">
        <v>4816</v>
      </c>
      <c r="V368" s="5" t="s">
        <v>4816</v>
      </c>
      <c r="W368" s="5" t="s">
        <v>1397</v>
      </c>
      <c r="X368" s="5" t="s">
        <v>1397</v>
      </c>
      <c r="Y368" s="4">
        <v>412</v>
      </c>
      <c r="Z368" s="4">
        <v>341</v>
      </c>
      <c r="AA368" s="4">
        <v>427</v>
      </c>
      <c r="AB368" s="4">
        <v>3</v>
      </c>
      <c r="AC368" s="4">
        <v>3</v>
      </c>
      <c r="AD368" s="4">
        <v>11</v>
      </c>
      <c r="AE368" s="4">
        <v>15</v>
      </c>
      <c r="AF368" s="4">
        <v>3</v>
      </c>
      <c r="AG368" s="4">
        <v>6</v>
      </c>
      <c r="AH368" s="4">
        <v>2</v>
      </c>
      <c r="AI368" s="4">
        <v>4</v>
      </c>
      <c r="AJ368" s="4">
        <v>7</v>
      </c>
      <c r="AK368" s="4">
        <v>9</v>
      </c>
      <c r="AL368" s="4">
        <v>1</v>
      </c>
      <c r="AM368" s="4">
        <v>1</v>
      </c>
      <c r="AN368" s="4">
        <v>0</v>
      </c>
      <c r="AO368" s="4">
        <v>0</v>
      </c>
      <c r="AP368" s="3" t="s">
        <v>58</v>
      </c>
      <c r="AQ368" s="3" t="s">
        <v>68</v>
      </c>
      <c r="AR368" s="6" t="str">
        <f>HYPERLINK("http://catalog.hathitrust.org/Record/000690539","HathiTrust Record")</f>
        <v>HathiTrust Record</v>
      </c>
      <c r="AS368" s="6" t="str">
        <f>HYPERLINK("https://creighton-primo.hosted.exlibrisgroup.com/primo-explore/search?tab=default_tab&amp;search_scope=EVERYTHING&amp;vid=01CRU&amp;lang=en_US&amp;offset=0&amp;query=any,contains,991004051089702656","Catalog Record")</f>
        <v>Catalog Record</v>
      </c>
      <c r="AT368" s="6" t="str">
        <f>HYPERLINK("http://www.worldcat.org/oclc/2212887","WorldCat Record")</f>
        <v>WorldCat Record</v>
      </c>
      <c r="AU368" s="3" t="s">
        <v>4817</v>
      </c>
      <c r="AV368" s="3" t="s">
        <v>4818</v>
      </c>
      <c r="AW368" s="3" t="s">
        <v>4819</v>
      </c>
      <c r="AX368" s="3" t="s">
        <v>4819</v>
      </c>
      <c r="AY368" s="3" t="s">
        <v>4820</v>
      </c>
      <c r="AZ368" s="3" t="s">
        <v>73</v>
      </c>
      <c r="BB368" s="3" t="s">
        <v>4821</v>
      </c>
      <c r="BC368" s="3" t="s">
        <v>4822</v>
      </c>
      <c r="BD368" s="3" t="s">
        <v>4823</v>
      </c>
    </row>
    <row r="369" spans="1:56" ht="45" customHeight="1" x14ac:dyDescent="0.25">
      <c r="A369" s="8" t="s">
        <v>58</v>
      </c>
      <c r="B369" s="2" t="s">
        <v>4824</v>
      </c>
      <c r="C369" s="2" t="s">
        <v>4825</v>
      </c>
      <c r="D369" s="2" t="s">
        <v>4826</v>
      </c>
      <c r="F369" s="3" t="s">
        <v>58</v>
      </c>
      <c r="G369" s="3" t="s">
        <v>59</v>
      </c>
      <c r="H369" s="3" t="s">
        <v>58</v>
      </c>
      <c r="I369" s="3" t="s">
        <v>58</v>
      </c>
      <c r="J369" s="3" t="s">
        <v>60</v>
      </c>
      <c r="K369" s="2" t="s">
        <v>4827</v>
      </c>
      <c r="L369" s="2" t="s">
        <v>4828</v>
      </c>
      <c r="M369" s="3" t="s">
        <v>1451</v>
      </c>
      <c r="N369" s="2" t="s">
        <v>567</v>
      </c>
      <c r="O369" s="3" t="s">
        <v>4829</v>
      </c>
      <c r="P369" s="3" t="s">
        <v>191</v>
      </c>
      <c r="R369" s="3" t="s">
        <v>66</v>
      </c>
      <c r="S369" s="4">
        <v>1</v>
      </c>
      <c r="T369" s="4">
        <v>1</v>
      </c>
      <c r="U369" s="5" t="s">
        <v>4069</v>
      </c>
      <c r="V369" s="5" t="s">
        <v>4069</v>
      </c>
      <c r="W369" s="5" t="s">
        <v>4069</v>
      </c>
      <c r="X369" s="5" t="s">
        <v>4069</v>
      </c>
      <c r="Y369" s="4">
        <v>243</v>
      </c>
      <c r="Z369" s="4">
        <v>242</v>
      </c>
      <c r="AA369" s="4">
        <v>257</v>
      </c>
      <c r="AB369" s="4">
        <v>3</v>
      </c>
      <c r="AC369" s="4">
        <v>3</v>
      </c>
      <c r="AD369" s="4">
        <v>1</v>
      </c>
      <c r="AE369" s="4">
        <v>1</v>
      </c>
      <c r="AF369" s="4">
        <v>0</v>
      </c>
      <c r="AG369" s="4">
        <v>0</v>
      </c>
      <c r="AH369" s="4">
        <v>0</v>
      </c>
      <c r="AI369" s="4">
        <v>0</v>
      </c>
      <c r="AJ369" s="4">
        <v>1</v>
      </c>
      <c r="AK369" s="4">
        <v>1</v>
      </c>
      <c r="AL369" s="4">
        <v>0</v>
      </c>
      <c r="AM369" s="4">
        <v>0</v>
      </c>
      <c r="AN369" s="4">
        <v>0</v>
      </c>
      <c r="AO369" s="4">
        <v>0</v>
      </c>
      <c r="AP369" s="3" t="s">
        <v>58</v>
      </c>
      <c r="AQ369" s="3" t="s">
        <v>58</v>
      </c>
      <c r="AS369" s="6" t="str">
        <f>HYPERLINK("https://creighton-primo.hosted.exlibrisgroup.com/primo-explore/search?tab=default_tab&amp;search_scope=EVERYTHING&amp;vid=01CRU&amp;lang=en_US&amp;offset=0&amp;query=any,contains,991004181609702656","Catalog Record")</f>
        <v>Catalog Record</v>
      </c>
      <c r="AT369" s="6" t="str">
        <f>HYPERLINK("http://www.worldcat.org/oclc/37043843","WorldCat Record")</f>
        <v>WorldCat Record</v>
      </c>
      <c r="AU369" s="3" t="s">
        <v>4830</v>
      </c>
      <c r="AV369" s="3" t="s">
        <v>4831</v>
      </c>
      <c r="AW369" s="3" t="s">
        <v>4832</v>
      </c>
      <c r="AX369" s="3" t="s">
        <v>4832</v>
      </c>
      <c r="AY369" s="3" t="s">
        <v>4833</v>
      </c>
      <c r="AZ369" s="3" t="s">
        <v>73</v>
      </c>
      <c r="BB369" s="3" t="s">
        <v>4834</v>
      </c>
      <c r="BC369" s="3" t="s">
        <v>4835</v>
      </c>
      <c r="BD369" s="3" t="s">
        <v>4836</v>
      </c>
    </row>
    <row r="370" spans="1:56" ht="45" customHeight="1" x14ac:dyDescent="0.25">
      <c r="A370" s="8" t="s">
        <v>58</v>
      </c>
      <c r="B370" s="2" t="s">
        <v>4837</v>
      </c>
      <c r="C370" s="2" t="s">
        <v>4838</v>
      </c>
      <c r="D370" s="2" t="s">
        <v>4839</v>
      </c>
      <c r="F370" s="3" t="s">
        <v>58</v>
      </c>
      <c r="G370" s="3" t="s">
        <v>59</v>
      </c>
      <c r="H370" s="3" t="s">
        <v>58</v>
      </c>
      <c r="I370" s="3" t="s">
        <v>58</v>
      </c>
      <c r="J370" s="3" t="s">
        <v>60</v>
      </c>
      <c r="K370" s="2" t="s">
        <v>4840</v>
      </c>
      <c r="L370" s="2" t="s">
        <v>4841</v>
      </c>
      <c r="M370" s="3" t="s">
        <v>407</v>
      </c>
      <c r="O370" s="3" t="s">
        <v>64</v>
      </c>
      <c r="P370" s="3" t="s">
        <v>2875</v>
      </c>
      <c r="R370" s="3" t="s">
        <v>66</v>
      </c>
      <c r="S370" s="4">
        <v>15</v>
      </c>
      <c r="T370" s="4">
        <v>15</v>
      </c>
      <c r="U370" s="5" t="s">
        <v>4842</v>
      </c>
      <c r="V370" s="5" t="s">
        <v>4842</v>
      </c>
      <c r="W370" s="5" t="s">
        <v>4433</v>
      </c>
      <c r="X370" s="5" t="s">
        <v>4433</v>
      </c>
      <c r="Y370" s="4">
        <v>13</v>
      </c>
      <c r="Z370" s="4">
        <v>13</v>
      </c>
      <c r="AA370" s="4">
        <v>262</v>
      </c>
      <c r="AB370" s="4">
        <v>1</v>
      </c>
      <c r="AC370" s="4">
        <v>3</v>
      </c>
      <c r="AD370" s="4">
        <v>0</v>
      </c>
      <c r="AE370" s="4">
        <v>10</v>
      </c>
      <c r="AF370" s="4">
        <v>0</v>
      </c>
      <c r="AG370" s="4">
        <v>5</v>
      </c>
      <c r="AH370" s="4">
        <v>0</v>
      </c>
      <c r="AI370" s="4">
        <v>1</v>
      </c>
      <c r="AJ370" s="4">
        <v>0</v>
      </c>
      <c r="AK370" s="4">
        <v>6</v>
      </c>
      <c r="AL370" s="4">
        <v>0</v>
      </c>
      <c r="AM370" s="4">
        <v>2</v>
      </c>
      <c r="AN370" s="4">
        <v>0</v>
      </c>
      <c r="AO370" s="4">
        <v>0</v>
      </c>
      <c r="AP370" s="3" t="s">
        <v>58</v>
      </c>
      <c r="AQ370" s="3" t="s">
        <v>58</v>
      </c>
      <c r="AS370" s="6" t="str">
        <f>HYPERLINK("https://creighton-primo.hosted.exlibrisgroup.com/primo-explore/search?tab=default_tab&amp;search_scope=EVERYTHING&amp;vid=01CRU&amp;lang=en_US&amp;offset=0&amp;query=any,contains,991004524299702656","Catalog Record")</f>
        <v>Catalog Record</v>
      </c>
      <c r="AT370" s="6" t="str">
        <f>HYPERLINK("http://www.worldcat.org/oclc/3836775","WorldCat Record")</f>
        <v>WorldCat Record</v>
      </c>
      <c r="AU370" s="3" t="s">
        <v>4843</v>
      </c>
      <c r="AV370" s="3" t="s">
        <v>4844</v>
      </c>
      <c r="AW370" s="3" t="s">
        <v>4845</v>
      </c>
      <c r="AX370" s="3" t="s">
        <v>4845</v>
      </c>
      <c r="AY370" s="3" t="s">
        <v>4846</v>
      </c>
      <c r="AZ370" s="3" t="s">
        <v>73</v>
      </c>
      <c r="BC370" s="3" t="s">
        <v>4847</v>
      </c>
      <c r="BD370" s="3" t="s">
        <v>4848</v>
      </c>
    </row>
    <row r="371" spans="1:56" ht="45" customHeight="1" x14ac:dyDescent="0.25">
      <c r="A371" s="8" t="s">
        <v>58</v>
      </c>
      <c r="B371" s="2" t="s">
        <v>4849</v>
      </c>
      <c r="C371" s="2" t="s">
        <v>4850</v>
      </c>
      <c r="D371" s="2" t="s">
        <v>4851</v>
      </c>
      <c r="F371" s="3" t="s">
        <v>58</v>
      </c>
      <c r="G371" s="3" t="s">
        <v>59</v>
      </c>
      <c r="H371" s="3" t="s">
        <v>58</v>
      </c>
      <c r="I371" s="3" t="s">
        <v>58</v>
      </c>
      <c r="J371" s="3" t="s">
        <v>60</v>
      </c>
      <c r="K371" s="2" t="s">
        <v>4852</v>
      </c>
      <c r="L371" s="2" t="s">
        <v>4853</v>
      </c>
      <c r="M371" s="3" t="s">
        <v>62</v>
      </c>
      <c r="N371" s="2" t="s">
        <v>567</v>
      </c>
      <c r="O371" s="3" t="s">
        <v>64</v>
      </c>
      <c r="P371" s="3" t="s">
        <v>191</v>
      </c>
      <c r="Q371" s="2" t="s">
        <v>4854</v>
      </c>
      <c r="R371" s="3" t="s">
        <v>66</v>
      </c>
      <c r="S371" s="4">
        <v>2</v>
      </c>
      <c r="T371" s="4">
        <v>2</v>
      </c>
      <c r="U371" s="5" t="s">
        <v>4855</v>
      </c>
      <c r="V371" s="5" t="s">
        <v>4855</v>
      </c>
      <c r="W371" s="5" t="s">
        <v>4069</v>
      </c>
      <c r="X371" s="5" t="s">
        <v>4069</v>
      </c>
      <c r="Y371" s="4">
        <v>684</v>
      </c>
      <c r="Z371" s="4">
        <v>610</v>
      </c>
      <c r="AA371" s="4">
        <v>813</v>
      </c>
      <c r="AB371" s="4">
        <v>5</v>
      </c>
      <c r="AC371" s="4">
        <v>7</v>
      </c>
      <c r="AD371" s="4">
        <v>5</v>
      </c>
      <c r="AE371" s="4">
        <v>6</v>
      </c>
      <c r="AF371" s="4">
        <v>2</v>
      </c>
      <c r="AG371" s="4">
        <v>2</v>
      </c>
      <c r="AH371" s="4">
        <v>0</v>
      </c>
      <c r="AI371" s="4">
        <v>0</v>
      </c>
      <c r="AJ371" s="4">
        <v>2</v>
      </c>
      <c r="AK371" s="4">
        <v>2</v>
      </c>
      <c r="AL371" s="4">
        <v>3</v>
      </c>
      <c r="AM371" s="4">
        <v>4</v>
      </c>
      <c r="AN371" s="4">
        <v>0</v>
      </c>
      <c r="AO371" s="4">
        <v>0</v>
      </c>
      <c r="AP371" s="3" t="s">
        <v>58</v>
      </c>
      <c r="AQ371" s="3" t="s">
        <v>58</v>
      </c>
      <c r="AS371" s="6" t="str">
        <f>HYPERLINK("https://creighton-primo.hosted.exlibrisgroup.com/primo-explore/search?tab=default_tab&amp;search_scope=EVERYTHING&amp;vid=01CRU&amp;lang=en_US&amp;offset=0&amp;query=any,contains,991004181379702656","Catalog Record")</f>
        <v>Catalog Record</v>
      </c>
      <c r="AT371" s="6" t="str">
        <f>HYPERLINK("http://www.worldcat.org/oclc/51992259","WorldCat Record")</f>
        <v>WorldCat Record</v>
      </c>
      <c r="AU371" s="3" t="s">
        <v>4856</v>
      </c>
      <c r="AV371" s="3" t="s">
        <v>4857</v>
      </c>
      <c r="AW371" s="3" t="s">
        <v>4858</v>
      </c>
      <c r="AX371" s="3" t="s">
        <v>4858</v>
      </c>
      <c r="AY371" s="3" t="s">
        <v>4859</v>
      </c>
      <c r="AZ371" s="3" t="s">
        <v>73</v>
      </c>
      <c r="BB371" s="3" t="s">
        <v>4860</v>
      </c>
      <c r="BC371" s="3" t="s">
        <v>4861</v>
      </c>
      <c r="BD371" s="3" t="s">
        <v>4862</v>
      </c>
    </row>
    <row r="372" spans="1:56" ht="45" customHeight="1" x14ac:dyDescent="0.25">
      <c r="A372" s="8" t="s">
        <v>58</v>
      </c>
      <c r="B372" s="2" t="s">
        <v>4863</v>
      </c>
      <c r="C372" s="2" t="s">
        <v>4864</v>
      </c>
      <c r="D372" s="2" t="s">
        <v>4865</v>
      </c>
      <c r="F372" s="3" t="s">
        <v>58</v>
      </c>
      <c r="G372" s="3" t="s">
        <v>59</v>
      </c>
      <c r="H372" s="3" t="s">
        <v>58</v>
      </c>
      <c r="I372" s="3" t="s">
        <v>58</v>
      </c>
      <c r="J372" s="3" t="s">
        <v>60</v>
      </c>
      <c r="L372" s="2" t="s">
        <v>4866</v>
      </c>
      <c r="M372" s="3" t="s">
        <v>1181</v>
      </c>
      <c r="O372" s="3" t="s">
        <v>64</v>
      </c>
      <c r="P372" s="3" t="s">
        <v>191</v>
      </c>
      <c r="R372" s="3" t="s">
        <v>66</v>
      </c>
      <c r="S372" s="4">
        <v>17</v>
      </c>
      <c r="T372" s="4">
        <v>17</v>
      </c>
      <c r="U372" s="5" t="s">
        <v>4867</v>
      </c>
      <c r="V372" s="5" t="s">
        <v>4867</v>
      </c>
      <c r="W372" s="5" t="s">
        <v>2484</v>
      </c>
      <c r="X372" s="5" t="s">
        <v>2484</v>
      </c>
      <c r="Y372" s="4">
        <v>337</v>
      </c>
      <c r="Z372" s="4">
        <v>295</v>
      </c>
      <c r="AA372" s="4">
        <v>307</v>
      </c>
      <c r="AB372" s="4">
        <v>3</v>
      </c>
      <c r="AC372" s="4">
        <v>3</v>
      </c>
      <c r="AD372" s="4">
        <v>16</v>
      </c>
      <c r="AE372" s="4">
        <v>16</v>
      </c>
      <c r="AF372" s="4">
        <v>5</v>
      </c>
      <c r="AG372" s="4">
        <v>5</v>
      </c>
      <c r="AH372" s="4">
        <v>3</v>
      </c>
      <c r="AI372" s="4">
        <v>3</v>
      </c>
      <c r="AJ372" s="4">
        <v>10</v>
      </c>
      <c r="AK372" s="4">
        <v>10</v>
      </c>
      <c r="AL372" s="4">
        <v>2</v>
      </c>
      <c r="AM372" s="4">
        <v>2</v>
      </c>
      <c r="AN372" s="4">
        <v>0</v>
      </c>
      <c r="AO372" s="4">
        <v>0</v>
      </c>
      <c r="AP372" s="3" t="s">
        <v>58</v>
      </c>
      <c r="AQ372" s="3" t="s">
        <v>68</v>
      </c>
      <c r="AR372" s="6" t="str">
        <f>HYPERLINK("http://catalog.hathitrust.org/Record/002584569","HathiTrust Record")</f>
        <v>HathiTrust Record</v>
      </c>
      <c r="AS372" s="6" t="str">
        <f>HYPERLINK("https://creighton-primo.hosted.exlibrisgroup.com/primo-explore/search?tab=default_tab&amp;search_scope=EVERYTHING&amp;vid=01CRU&amp;lang=en_US&amp;offset=0&amp;query=any,contains,991002030209702656","Catalog Record")</f>
        <v>Catalog Record</v>
      </c>
      <c r="AT372" s="6" t="str">
        <f>HYPERLINK("http://www.worldcat.org/oclc/25834311","WorldCat Record")</f>
        <v>WorldCat Record</v>
      </c>
      <c r="AU372" s="3" t="s">
        <v>4868</v>
      </c>
      <c r="AV372" s="3" t="s">
        <v>4869</v>
      </c>
      <c r="AW372" s="3" t="s">
        <v>4870</v>
      </c>
      <c r="AX372" s="3" t="s">
        <v>4870</v>
      </c>
      <c r="AY372" s="3" t="s">
        <v>4871</v>
      </c>
      <c r="AZ372" s="3" t="s">
        <v>73</v>
      </c>
      <c r="BB372" s="3" t="s">
        <v>4872</v>
      </c>
      <c r="BC372" s="3" t="s">
        <v>4873</v>
      </c>
      <c r="BD372" s="3" t="s">
        <v>4874</v>
      </c>
    </row>
    <row r="373" spans="1:56" ht="45" customHeight="1" x14ac:dyDescent="0.25">
      <c r="A373" s="8" t="s">
        <v>58</v>
      </c>
      <c r="B373" s="2" t="s">
        <v>4875</v>
      </c>
      <c r="C373" s="2" t="s">
        <v>4876</v>
      </c>
      <c r="D373" s="2" t="s">
        <v>4877</v>
      </c>
      <c r="F373" s="3" t="s">
        <v>58</v>
      </c>
      <c r="G373" s="3" t="s">
        <v>59</v>
      </c>
      <c r="H373" s="3" t="s">
        <v>58</v>
      </c>
      <c r="I373" s="3" t="s">
        <v>58</v>
      </c>
      <c r="J373" s="3" t="s">
        <v>60</v>
      </c>
      <c r="K373" s="2" t="s">
        <v>4878</v>
      </c>
      <c r="L373" s="2" t="s">
        <v>4879</v>
      </c>
      <c r="M373" s="3" t="s">
        <v>538</v>
      </c>
      <c r="O373" s="3" t="s">
        <v>64</v>
      </c>
      <c r="P373" s="3" t="s">
        <v>177</v>
      </c>
      <c r="R373" s="3" t="s">
        <v>66</v>
      </c>
      <c r="S373" s="4">
        <v>1</v>
      </c>
      <c r="T373" s="4">
        <v>1</v>
      </c>
      <c r="U373" s="5" t="s">
        <v>4880</v>
      </c>
      <c r="V373" s="5" t="s">
        <v>4880</v>
      </c>
      <c r="W373" s="5" t="s">
        <v>4880</v>
      </c>
      <c r="X373" s="5" t="s">
        <v>4880</v>
      </c>
      <c r="Y373" s="4">
        <v>506</v>
      </c>
      <c r="Z373" s="4">
        <v>441</v>
      </c>
      <c r="AA373" s="4">
        <v>445</v>
      </c>
      <c r="AB373" s="4">
        <v>4</v>
      </c>
      <c r="AC373" s="4">
        <v>4</v>
      </c>
      <c r="AD373" s="4">
        <v>19</v>
      </c>
      <c r="AE373" s="4">
        <v>19</v>
      </c>
      <c r="AF373" s="4">
        <v>6</v>
      </c>
      <c r="AG373" s="4">
        <v>6</v>
      </c>
      <c r="AH373" s="4">
        <v>4</v>
      </c>
      <c r="AI373" s="4">
        <v>4</v>
      </c>
      <c r="AJ373" s="4">
        <v>10</v>
      </c>
      <c r="AK373" s="4">
        <v>10</v>
      </c>
      <c r="AL373" s="4">
        <v>3</v>
      </c>
      <c r="AM373" s="4">
        <v>3</v>
      </c>
      <c r="AN373" s="4">
        <v>0</v>
      </c>
      <c r="AO373" s="4">
        <v>0</v>
      </c>
      <c r="AP373" s="3" t="s">
        <v>58</v>
      </c>
      <c r="AQ373" s="3" t="s">
        <v>58</v>
      </c>
      <c r="AS373" s="6" t="str">
        <f>HYPERLINK("https://creighton-primo.hosted.exlibrisgroup.com/primo-explore/search?tab=default_tab&amp;search_scope=EVERYTHING&amp;vid=01CRU&amp;lang=en_US&amp;offset=0&amp;query=any,contains,991003933049702656","Catalog Record")</f>
        <v>Catalog Record</v>
      </c>
      <c r="AT373" s="6" t="str">
        <f>HYPERLINK("http://www.worldcat.org/oclc/20759172","WorldCat Record")</f>
        <v>WorldCat Record</v>
      </c>
      <c r="AU373" s="3" t="s">
        <v>4881</v>
      </c>
      <c r="AV373" s="3" t="s">
        <v>4882</v>
      </c>
      <c r="AW373" s="3" t="s">
        <v>4883</v>
      </c>
      <c r="AX373" s="3" t="s">
        <v>4883</v>
      </c>
      <c r="AY373" s="3" t="s">
        <v>4884</v>
      </c>
      <c r="AZ373" s="3" t="s">
        <v>73</v>
      </c>
      <c r="BB373" s="3" t="s">
        <v>4885</v>
      </c>
      <c r="BC373" s="3" t="s">
        <v>4886</v>
      </c>
      <c r="BD373" s="3" t="s">
        <v>4887</v>
      </c>
    </row>
    <row r="374" spans="1:56" ht="45" customHeight="1" x14ac:dyDescent="0.25">
      <c r="A374" s="8" t="s">
        <v>58</v>
      </c>
      <c r="B374" s="2" t="s">
        <v>4888</v>
      </c>
      <c r="C374" s="2" t="s">
        <v>4889</v>
      </c>
      <c r="D374" s="2" t="s">
        <v>4890</v>
      </c>
      <c r="F374" s="3" t="s">
        <v>58</v>
      </c>
      <c r="G374" s="3" t="s">
        <v>59</v>
      </c>
      <c r="H374" s="3" t="s">
        <v>58</v>
      </c>
      <c r="I374" s="3" t="s">
        <v>58</v>
      </c>
      <c r="J374" s="3" t="s">
        <v>60</v>
      </c>
      <c r="K374" s="2" t="s">
        <v>4891</v>
      </c>
      <c r="L374" s="2" t="s">
        <v>4892</v>
      </c>
      <c r="M374" s="3" t="s">
        <v>450</v>
      </c>
      <c r="O374" s="3" t="s">
        <v>64</v>
      </c>
      <c r="P374" s="3" t="s">
        <v>147</v>
      </c>
      <c r="Q374" s="2" t="s">
        <v>4893</v>
      </c>
      <c r="R374" s="3" t="s">
        <v>66</v>
      </c>
      <c r="S374" s="4">
        <v>44</v>
      </c>
      <c r="T374" s="4">
        <v>44</v>
      </c>
      <c r="U374" s="5" t="s">
        <v>4894</v>
      </c>
      <c r="V374" s="5" t="s">
        <v>4894</v>
      </c>
      <c r="W374" s="5" t="s">
        <v>4895</v>
      </c>
      <c r="X374" s="5" t="s">
        <v>4895</v>
      </c>
      <c r="Y374" s="4">
        <v>505</v>
      </c>
      <c r="Z374" s="4">
        <v>483</v>
      </c>
      <c r="AA374" s="4">
        <v>489</v>
      </c>
      <c r="AB374" s="4">
        <v>4</v>
      </c>
      <c r="AC374" s="4">
        <v>4</v>
      </c>
      <c r="AD374" s="4">
        <v>18</v>
      </c>
      <c r="AE374" s="4">
        <v>18</v>
      </c>
      <c r="AF374" s="4">
        <v>8</v>
      </c>
      <c r="AG374" s="4">
        <v>8</v>
      </c>
      <c r="AH374" s="4">
        <v>4</v>
      </c>
      <c r="AI374" s="4">
        <v>4</v>
      </c>
      <c r="AJ374" s="4">
        <v>9</v>
      </c>
      <c r="AK374" s="4">
        <v>9</v>
      </c>
      <c r="AL374" s="4">
        <v>3</v>
      </c>
      <c r="AM374" s="4">
        <v>3</v>
      </c>
      <c r="AN374" s="4">
        <v>0</v>
      </c>
      <c r="AO374" s="4">
        <v>0</v>
      </c>
      <c r="AP374" s="3" t="s">
        <v>58</v>
      </c>
      <c r="AQ374" s="3" t="s">
        <v>68</v>
      </c>
      <c r="AR374" s="6" t="str">
        <f>HYPERLINK("http://catalog.hathitrust.org/Record/004505112","HathiTrust Record")</f>
        <v>HathiTrust Record</v>
      </c>
      <c r="AS374" s="6" t="str">
        <f>HYPERLINK("https://creighton-primo.hosted.exlibrisgroup.com/primo-explore/search?tab=default_tab&amp;search_scope=EVERYTHING&amp;vid=01CRU&amp;lang=en_US&amp;offset=0&amp;query=any,contains,991000885969702656","Catalog Record")</f>
        <v>Catalog Record</v>
      </c>
      <c r="AT374" s="6" t="str">
        <f>HYPERLINK("http://www.worldcat.org/oclc/13861083","WorldCat Record")</f>
        <v>WorldCat Record</v>
      </c>
      <c r="AU374" s="3" t="s">
        <v>4896</v>
      </c>
      <c r="AV374" s="3" t="s">
        <v>4897</v>
      </c>
      <c r="AW374" s="3" t="s">
        <v>4898</v>
      </c>
      <c r="AX374" s="3" t="s">
        <v>4898</v>
      </c>
      <c r="AY374" s="3" t="s">
        <v>4899</v>
      </c>
      <c r="AZ374" s="3" t="s">
        <v>73</v>
      </c>
      <c r="BB374" s="3" t="s">
        <v>4900</v>
      </c>
      <c r="BC374" s="3" t="s">
        <v>4901</v>
      </c>
      <c r="BD374" s="3" t="s">
        <v>4902</v>
      </c>
    </row>
    <row r="375" spans="1:56" ht="45" customHeight="1" x14ac:dyDescent="0.25">
      <c r="A375" s="8" t="s">
        <v>58</v>
      </c>
      <c r="B375" s="2" t="s">
        <v>4903</v>
      </c>
      <c r="C375" s="2" t="s">
        <v>4904</v>
      </c>
      <c r="D375" s="2" t="s">
        <v>4905</v>
      </c>
      <c r="F375" s="3" t="s">
        <v>58</v>
      </c>
      <c r="G375" s="3" t="s">
        <v>59</v>
      </c>
      <c r="H375" s="3" t="s">
        <v>58</v>
      </c>
      <c r="I375" s="3" t="s">
        <v>58</v>
      </c>
      <c r="J375" s="3" t="s">
        <v>60</v>
      </c>
      <c r="K375" s="2" t="s">
        <v>4906</v>
      </c>
      <c r="L375" s="2" t="s">
        <v>4907</v>
      </c>
      <c r="M375" s="3" t="s">
        <v>4908</v>
      </c>
      <c r="N375" s="2" t="s">
        <v>63</v>
      </c>
      <c r="O375" s="3" t="s">
        <v>64</v>
      </c>
      <c r="P375" s="3" t="s">
        <v>177</v>
      </c>
      <c r="R375" s="3" t="s">
        <v>66</v>
      </c>
      <c r="S375" s="4">
        <v>6</v>
      </c>
      <c r="T375" s="4">
        <v>6</v>
      </c>
      <c r="U375" s="5" t="s">
        <v>4909</v>
      </c>
      <c r="V375" s="5" t="s">
        <v>4909</v>
      </c>
      <c r="W375" s="5" t="s">
        <v>4910</v>
      </c>
      <c r="X375" s="5" t="s">
        <v>4910</v>
      </c>
      <c r="Y375" s="4">
        <v>455</v>
      </c>
      <c r="Z375" s="4">
        <v>442</v>
      </c>
      <c r="AA375" s="4">
        <v>500</v>
      </c>
      <c r="AB375" s="4">
        <v>4</v>
      </c>
      <c r="AC375" s="4">
        <v>5</v>
      </c>
      <c r="AD375" s="4">
        <v>3</v>
      </c>
      <c r="AE375" s="4">
        <v>3</v>
      </c>
      <c r="AF375" s="4">
        <v>1</v>
      </c>
      <c r="AG375" s="4">
        <v>1</v>
      </c>
      <c r="AH375" s="4">
        <v>1</v>
      </c>
      <c r="AI375" s="4">
        <v>1</v>
      </c>
      <c r="AJ375" s="4">
        <v>1</v>
      </c>
      <c r="AK375" s="4">
        <v>1</v>
      </c>
      <c r="AL375" s="4">
        <v>1</v>
      </c>
      <c r="AM375" s="4">
        <v>1</v>
      </c>
      <c r="AN375" s="4">
        <v>0</v>
      </c>
      <c r="AO375" s="4">
        <v>0</v>
      </c>
      <c r="AP375" s="3" t="s">
        <v>58</v>
      </c>
      <c r="AQ375" s="3" t="s">
        <v>58</v>
      </c>
      <c r="AS375" s="6" t="str">
        <f>HYPERLINK("https://creighton-primo.hosted.exlibrisgroup.com/primo-explore/search?tab=default_tab&amp;search_scope=EVERYTHING&amp;vid=01CRU&amp;lang=en_US&amp;offset=0&amp;query=any,contains,991003742959702656","Catalog Record")</f>
        <v>Catalog Record</v>
      </c>
      <c r="AT375" s="6" t="str">
        <f>HYPERLINK("http://www.worldcat.org/oclc/46671082","WorldCat Record")</f>
        <v>WorldCat Record</v>
      </c>
      <c r="AU375" s="3" t="s">
        <v>4911</v>
      </c>
      <c r="AV375" s="3" t="s">
        <v>4912</v>
      </c>
      <c r="AW375" s="3" t="s">
        <v>4913</v>
      </c>
      <c r="AX375" s="3" t="s">
        <v>4913</v>
      </c>
      <c r="AY375" s="3" t="s">
        <v>4914</v>
      </c>
      <c r="AZ375" s="3" t="s">
        <v>73</v>
      </c>
      <c r="BB375" s="3" t="s">
        <v>4915</v>
      </c>
      <c r="BC375" s="3" t="s">
        <v>4916</v>
      </c>
      <c r="BD375" s="3" t="s">
        <v>4917</v>
      </c>
    </row>
    <row r="376" spans="1:56" ht="45" customHeight="1" x14ac:dyDescent="0.25">
      <c r="A376" s="8" t="s">
        <v>58</v>
      </c>
      <c r="B376" s="2" t="s">
        <v>4918</v>
      </c>
      <c r="C376" s="2" t="s">
        <v>4919</v>
      </c>
      <c r="D376" s="2" t="s">
        <v>4920</v>
      </c>
      <c r="F376" s="3" t="s">
        <v>58</v>
      </c>
      <c r="G376" s="3" t="s">
        <v>59</v>
      </c>
      <c r="H376" s="3" t="s">
        <v>58</v>
      </c>
      <c r="I376" s="3" t="s">
        <v>58</v>
      </c>
      <c r="J376" s="3" t="s">
        <v>60</v>
      </c>
      <c r="L376" s="2" t="s">
        <v>4921</v>
      </c>
      <c r="M376" s="3" t="s">
        <v>219</v>
      </c>
      <c r="O376" s="3" t="s">
        <v>64</v>
      </c>
      <c r="P376" s="3" t="s">
        <v>191</v>
      </c>
      <c r="Q376" s="2" t="s">
        <v>4922</v>
      </c>
      <c r="R376" s="3" t="s">
        <v>66</v>
      </c>
      <c r="S376" s="4">
        <v>15</v>
      </c>
      <c r="T376" s="4">
        <v>15</v>
      </c>
      <c r="U376" s="5" t="s">
        <v>4923</v>
      </c>
      <c r="V376" s="5" t="s">
        <v>4923</v>
      </c>
      <c r="W376" s="5" t="s">
        <v>4924</v>
      </c>
      <c r="X376" s="5" t="s">
        <v>4924</v>
      </c>
      <c r="Y376" s="4">
        <v>188</v>
      </c>
      <c r="Z376" s="4">
        <v>143</v>
      </c>
      <c r="AA376" s="4">
        <v>361</v>
      </c>
      <c r="AB376" s="4">
        <v>2</v>
      </c>
      <c r="AC376" s="4">
        <v>3</v>
      </c>
      <c r="AD376" s="4">
        <v>4</v>
      </c>
      <c r="AE376" s="4">
        <v>14</v>
      </c>
      <c r="AF376" s="4">
        <v>1</v>
      </c>
      <c r="AG376" s="4">
        <v>5</v>
      </c>
      <c r="AH376" s="4">
        <v>2</v>
      </c>
      <c r="AI376" s="4">
        <v>4</v>
      </c>
      <c r="AJ376" s="4">
        <v>2</v>
      </c>
      <c r="AK376" s="4">
        <v>7</v>
      </c>
      <c r="AL376" s="4">
        <v>1</v>
      </c>
      <c r="AM376" s="4">
        <v>2</v>
      </c>
      <c r="AN376" s="4">
        <v>0</v>
      </c>
      <c r="AO376" s="4">
        <v>0</v>
      </c>
      <c r="AP376" s="3" t="s">
        <v>58</v>
      </c>
      <c r="AQ376" s="3" t="s">
        <v>68</v>
      </c>
      <c r="AR376" s="6" t="str">
        <f>HYPERLINK("http://catalog.hathitrust.org/Record/002506958","HathiTrust Record")</f>
        <v>HathiTrust Record</v>
      </c>
      <c r="AS376" s="6" t="str">
        <f>HYPERLINK("https://creighton-primo.hosted.exlibrisgroup.com/primo-explore/search?tab=default_tab&amp;search_scope=EVERYTHING&amp;vid=01CRU&amp;lang=en_US&amp;offset=0&amp;query=any,contains,991001832349702656","Catalog Record")</f>
        <v>Catalog Record</v>
      </c>
      <c r="AT376" s="6" t="str">
        <f>HYPERLINK("http://www.worldcat.org/oclc/23016498","WorldCat Record")</f>
        <v>WorldCat Record</v>
      </c>
      <c r="AU376" s="3" t="s">
        <v>4925</v>
      </c>
      <c r="AV376" s="3" t="s">
        <v>4926</v>
      </c>
      <c r="AW376" s="3" t="s">
        <v>4927</v>
      </c>
      <c r="AX376" s="3" t="s">
        <v>4927</v>
      </c>
      <c r="AY376" s="3" t="s">
        <v>4928</v>
      </c>
      <c r="AZ376" s="3" t="s">
        <v>73</v>
      </c>
      <c r="BB376" s="3" t="s">
        <v>4929</v>
      </c>
      <c r="BC376" s="3" t="s">
        <v>4930</v>
      </c>
      <c r="BD376" s="3" t="s">
        <v>4931</v>
      </c>
    </row>
    <row r="377" spans="1:56" ht="45" customHeight="1" x14ac:dyDescent="0.25">
      <c r="A377" s="8" t="s">
        <v>58</v>
      </c>
      <c r="B377" s="2" t="s">
        <v>4932</v>
      </c>
      <c r="C377" s="2" t="s">
        <v>4933</v>
      </c>
      <c r="D377" s="2" t="s">
        <v>4934</v>
      </c>
      <c r="F377" s="3" t="s">
        <v>58</v>
      </c>
      <c r="G377" s="3" t="s">
        <v>59</v>
      </c>
      <c r="H377" s="3" t="s">
        <v>58</v>
      </c>
      <c r="I377" s="3" t="s">
        <v>58</v>
      </c>
      <c r="J377" s="3" t="s">
        <v>60</v>
      </c>
      <c r="K377" s="2" t="s">
        <v>4935</v>
      </c>
      <c r="L377" s="2" t="s">
        <v>4936</v>
      </c>
      <c r="M377" s="3" t="s">
        <v>494</v>
      </c>
      <c r="O377" s="3" t="s">
        <v>64</v>
      </c>
      <c r="P377" s="3" t="s">
        <v>177</v>
      </c>
      <c r="Q377" s="2" t="s">
        <v>4937</v>
      </c>
      <c r="R377" s="3" t="s">
        <v>66</v>
      </c>
      <c r="S377" s="4">
        <v>4</v>
      </c>
      <c r="T377" s="4">
        <v>4</v>
      </c>
      <c r="U377" s="5" t="s">
        <v>4923</v>
      </c>
      <c r="V377" s="5" t="s">
        <v>4923</v>
      </c>
      <c r="W377" s="5" t="s">
        <v>2995</v>
      </c>
      <c r="X377" s="5" t="s">
        <v>2995</v>
      </c>
      <c r="Y377" s="4">
        <v>226</v>
      </c>
      <c r="Z377" s="4">
        <v>166</v>
      </c>
      <c r="AA377" s="4">
        <v>173</v>
      </c>
      <c r="AB377" s="4">
        <v>2</v>
      </c>
      <c r="AC377" s="4">
        <v>2</v>
      </c>
      <c r="AD377" s="4">
        <v>7</v>
      </c>
      <c r="AE377" s="4">
        <v>7</v>
      </c>
      <c r="AF377" s="4">
        <v>2</v>
      </c>
      <c r="AG377" s="4">
        <v>2</v>
      </c>
      <c r="AH377" s="4">
        <v>2</v>
      </c>
      <c r="AI377" s="4">
        <v>2</v>
      </c>
      <c r="AJ377" s="4">
        <v>2</v>
      </c>
      <c r="AK377" s="4">
        <v>2</v>
      </c>
      <c r="AL377" s="4">
        <v>1</v>
      </c>
      <c r="AM377" s="4">
        <v>1</v>
      </c>
      <c r="AN377" s="4">
        <v>0</v>
      </c>
      <c r="AO377" s="4">
        <v>0</v>
      </c>
      <c r="AP377" s="3" t="s">
        <v>58</v>
      </c>
      <c r="AQ377" s="3" t="s">
        <v>68</v>
      </c>
      <c r="AR377" s="6" t="str">
        <f>HYPERLINK("http://catalog.hathitrust.org/Record/000461007","HathiTrust Record")</f>
        <v>HathiTrust Record</v>
      </c>
      <c r="AS377" s="6" t="str">
        <f>HYPERLINK("https://creighton-primo.hosted.exlibrisgroup.com/primo-explore/search?tab=default_tab&amp;search_scope=EVERYTHING&amp;vid=01CRU&amp;lang=en_US&amp;offset=0&amp;query=any,contains,991000469979702656","Catalog Record")</f>
        <v>Catalog Record</v>
      </c>
      <c r="AT377" s="6" t="str">
        <f>HYPERLINK("http://www.worldcat.org/oclc/10996651","WorldCat Record")</f>
        <v>WorldCat Record</v>
      </c>
      <c r="AU377" s="3" t="s">
        <v>4938</v>
      </c>
      <c r="AV377" s="3" t="s">
        <v>4939</v>
      </c>
      <c r="AW377" s="3" t="s">
        <v>4940</v>
      </c>
      <c r="AX377" s="3" t="s">
        <v>4940</v>
      </c>
      <c r="AY377" s="3" t="s">
        <v>4941</v>
      </c>
      <c r="AZ377" s="3" t="s">
        <v>73</v>
      </c>
      <c r="BB377" s="3" t="s">
        <v>4942</v>
      </c>
      <c r="BC377" s="3" t="s">
        <v>4943</v>
      </c>
      <c r="BD377" s="3" t="s">
        <v>4944</v>
      </c>
    </row>
    <row r="378" spans="1:56" ht="45" customHeight="1" x14ac:dyDescent="0.25">
      <c r="A378" s="8" t="s">
        <v>58</v>
      </c>
      <c r="B378" s="2" t="s">
        <v>4945</v>
      </c>
      <c r="C378" s="2" t="s">
        <v>4946</v>
      </c>
      <c r="D378" s="2" t="s">
        <v>4947</v>
      </c>
      <c r="F378" s="3" t="s">
        <v>58</v>
      </c>
      <c r="G378" s="3" t="s">
        <v>59</v>
      </c>
      <c r="H378" s="3" t="s">
        <v>68</v>
      </c>
      <c r="I378" s="3" t="s">
        <v>58</v>
      </c>
      <c r="J378" s="3" t="s">
        <v>60</v>
      </c>
      <c r="K378" s="2" t="s">
        <v>4948</v>
      </c>
      <c r="L378" s="2" t="s">
        <v>4949</v>
      </c>
      <c r="M378" s="3" t="s">
        <v>291</v>
      </c>
      <c r="O378" s="3" t="s">
        <v>64</v>
      </c>
      <c r="P378" s="3" t="s">
        <v>177</v>
      </c>
      <c r="R378" s="3" t="s">
        <v>66</v>
      </c>
      <c r="S378" s="4">
        <v>16</v>
      </c>
      <c r="T378" s="4">
        <v>16</v>
      </c>
      <c r="U378" s="5" t="s">
        <v>4950</v>
      </c>
      <c r="V378" s="5" t="s">
        <v>4950</v>
      </c>
      <c r="W378" s="5" t="s">
        <v>4951</v>
      </c>
      <c r="X378" s="5" t="s">
        <v>4951</v>
      </c>
      <c r="Y378" s="4">
        <v>575</v>
      </c>
      <c r="Z378" s="4">
        <v>508</v>
      </c>
      <c r="AA378" s="4">
        <v>509</v>
      </c>
      <c r="AB378" s="4">
        <v>5</v>
      </c>
      <c r="AC378" s="4">
        <v>5</v>
      </c>
      <c r="AD378" s="4">
        <v>13</v>
      </c>
      <c r="AE378" s="4">
        <v>13</v>
      </c>
      <c r="AF378" s="4">
        <v>5</v>
      </c>
      <c r="AG378" s="4">
        <v>5</v>
      </c>
      <c r="AH378" s="4">
        <v>1</v>
      </c>
      <c r="AI378" s="4">
        <v>1</v>
      </c>
      <c r="AJ378" s="4">
        <v>7</v>
      </c>
      <c r="AK378" s="4">
        <v>7</v>
      </c>
      <c r="AL378" s="4">
        <v>3</v>
      </c>
      <c r="AM378" s="4">
        <v>3</v>
      </c>
      <c r="AN378" s="4">
        <v>0</v>
      </c>
      <c r="AO378" s="4">
        <v>0</v>
      </c>
      <c r="AP378" s="3" t="s">
        <v>58</v>
      </c>
      <c r="AQ378" s="3" t="s">
        <v>58</v>
      </c>
      <c r="AS378" s="6" t="str">
        <f>HYPERLINK("https://creighton-primo.hosted.exlibrisgroup.com/primo-explore/search?tab=default_tab&amp;search_scope=EVERYTHING&amp;vid=01CRU&amp;lang=en_US&amp;offset=0&amp;query=any,contains,991005101239702656","Catalog Record")</f>
        <v>Catalog Record</v>
      </c>
      <c r="AT378" s="6" t="str">
        <f>HYPERLINK("http://www.worldcat.org/oclc/7283890","WorldCat Record")</f>
        <v>WorldCat Record</v>
      </c>
      <c r="AU378" s="3" t="s">
        <v>4952</v>
      </c>
      <c r="AV378" s="3" t="s">
        <v>4953</v>
      </c>
      <c r="AW378" s="3" t="s">
        <v>4954</v>
      </c>
      <c r="AX378" s="3" t="s">
        <v>4954</v>
      </c>
      <c r="AY378" s="3" t="s">
        <v>4955</v>
      </c>
      <c r="AZ378" s="3" t="s">
        <v>73</v>
      </c>
      <c r="BB378" s="3" t="s">
        <v>4956</v>
      </c>
      <c r="BC378" s="3" t="s">
        <v>4957</v>
      </c>
      <c r="BD378" s="3" t="s">
        <v>4958</v>
      </c>
    </row>
    <row r="379" spans="1:56" ht="45" customHeight="1" x14ac:dyDescent="0.25">
      <c r="A379" s="8" t="s">
        <v>58</v>
      </c>
      <c r="B379" s="2" t="s">
        <v>4959</v>
      </c>
      <c r="C379" s="2" t="s">
        <v>4960</v>
      </c>
      <c r="D379" s="2" t="s">
        <v>4961</v>
      </c>
      <c r="F379" s="3" t="s">
        <v>58</v>
      </c>
      <c r="G379" s="3" t="s">
        <v>59</v>
      </c>
      <c r="H379" s="3" t="s">
        <v>68</v>
      </c>
      <c r="I379" s="3" t="s">
        <v>58</v>
      </c>
      <c r="J379" s="3" t="s">
        <v>60</v>
      </c>
      <c r="K379" s="2" t="s">
        <v>4962</v>
      </c>
      <c r="L379" s="2" t="s">
        <v>4963</v>
      </c>
      <c r="M379" s="3" t="s">
        <v>234</v>
      </c>
      <c r="O379" s="3" t="s">
        <v>64</v>
      </c>
      <c r="P379" s="3" t="s">
        <v>177</v>
      </c>
      <c r="Q379" s="2" t="s">
        <v>4964</v>
      </c>
      <c r="R379" s="3" t="s">
        <v>66</v>
      </c>
      <c r="S379" s="4">
        <v>10</v>
      </c>
      <c r="T379" s="4">
        <v>14</v>
      </c>
      <c r="U379" s="5" t="s">
        <v>4965</v>
      </c>
      <c r="V379" s="5" t="s">
        <v>4965</v>
      </c>
      <c r="W379" s="5" t="s">
        <v>4966</v>
      </c>
      <c r="X379" s="5" t="s">
        <v>4966</v>
      </c>
      <c r="Y379" s="4">
        <v>613</v>
      </c>
      <c r="Z379" s="4">
        <v>516</v>
      </c>
      <c r="AA379" s="4">
        <v>535</v>
      </c>
      <c r="AB379" s="4">
        <v>6</v>
      </c>
      <c r="AC379" s="4">
        <v>6</v>
      </c>
      <c r="AD379" s="4">
        <v>16</v>
      </c>
      <c r="AE379" s="4">
        <v>18</v>
      </c>
      <c r="AF379" s="4">
        <v>8</v>
      </c>
      <c r="AG379" s="4">
        <v>9</v>
      </c>
      <c r="AH379" s="4">
        <v>3</v>
      </c>
      <c r="AI379" s="4">
        <v>4</v>
      </c>
      <c r="AJ379" s="4">
        <v>8</v>
      </c>
      <c r="AK379" s="4">
        <v>8</v>
      </c>
      <c r="AL379" s="4">
        <v>2</v>
      </c>
      <c r="AM379" s="4">
        <v>2</v>
      </c>
      <c r="AN379" s="4">
        <v>0</v>
      </c>
      <c r="AO379" s="4">
        <v>0</v>
      </c>
      <c r="AP379" s="3" t="s">
        <v>58</v>
      </c>
      <c r="AQ379" s="3" t="s">
        <v>68</v>
      </c>
      <c r="AR379" s="6" t="str">
        <f>HYPERLINK("http://catalog.hathitrust.org/Record/000040313","HathiTrust Record")</f>
        <v>HathiTrust Record</v>
      </c>
      <c r="AS379" s="6" t="str">
        <f>HYPERLINK("https://creighton-primo.hosted.exlibrisgroup.com/primo-explore/search?tab=default_tab&amp;search_scope=EVERYTHING&amp;vid=01CRU&amp;lang=en_US&amp;offset=0&amp;query=any,contains,991001772319702656","Catalog Record")</f>
        <v>Catalog Record</v>
      </c>
      <c r="AT379" s="6" t="str">
        <f>HYPERLINK("http://www.worldcat.org/oclc/1601870","WorldCat Record")</f>
        <v>WorldCat Record</v>
      </c>
      <c r="AU379" s="3" t="s">
        <v>4967</v>
      </c>
      <c r="AV379" s="3" t="s">
        <v>4968</v>
      </c>
      <c r="AW379" s="3" t="s">
        <v>4969</v>
      </c>
      <c r="AX379" s="3" t="s">
        <v>4969</v>
      </c>
      <c r="AY379" s="3" t="s">
        <v>4970</v>
      </c>
      <c r="AZ379" s="3" t="s">
        <v>73</v>
      </c>
      <c r="BB379" s="3" t="s">
        <v>4971</v>
      </c>
      <c r="BC379" s="3" t="s">
        <v>4972</v>
      </c>
      <c r="BD379" s="3" t="s">
        <v>4973</v>
      </c>
    </row>
    <row r="380" spans="1:56" ht="45" customHeight="1" x14ac:dyDescent="0.25">
      <c r="A380" s="8" t="s">
        <v>58</v>
      </c>
      <c r="B380" s="2" t="s">
        <v>4974</v>
      </c>
      <c r="C380" s="2" t="s">
        <v>4975</v>
      </c>
      <c r="D380" s="2" t="s">
        <v>4976</v>
      </c>
      <c r="F380" s="3" t="s">
        <v>58</v>
      </c>
      <c r="G380" s="3" t="s">
        <v>59</v>
      </c>
      <c r="H380" s="3" t="s">
        <v>58</v>
      </c>
      <c r="I380" s="3" t="s">
        <v>58</v>
      </c>
      <c r="J380" s="3" t="s">
        <v>60</v>
      </c>
      <c r="K380" s="2" t="s">
        <v>4977</v>
      </c>
      <c r="L380" s="2" t="s">
        <v>4609</v>
      </c>
      <c r="M380" s="3" t="s">
        <v>393</v>
      </c>
      <c r="O380" s="3" t="s">
        <v>64</v>
      </c>
      <c r="P380" s="3" t="s">
        <v>177</v>
      </c>
      <c r="R380" s="3" t="s">
        <v>66</v>
      </c>
      <c r="S380" s="4">
        <v>7</v>
      </c>
      <c r="T380" s="4">
        <v>7</v>
      </c>
      <c r="U380" s="5" t="s">
        <v>2811</v>
      </c>
      <c r="V380" s="5" t="s">
        <v>2811</v>
      </c>
      <c r="W380" s="5" t="s">
        <v>3021</v>
      </c>
      <c r="X380" s="5" t="s">
        <v>3021</v>
      </c>
      <c r="Y380" s="4">
        <v>631</v>
      </c>
      <c r="Z380" s="4">
        <v>498</v>
      </c>
      <c r="AA380" s="4">
        <v>519</v>
      </c>
      <c r="AB380" s="4">
        <v>5</v>
      </c>
      <c r="AC380" s="4">
        <v>5</v>
      </c>
      <c r="AD380" s="4">
        <v>21</v>
      </c>
      <c r="AE380" s="4">
        <v>22</v>
      </c>
      <c r="AF380" s="4">
        <v>6</v>
      </c>
      <c r="AG380" s="4">
        <v>7</v>
      </c>
      <c r="AH380" s="4">
        <v>5</v>
      </c>
      <c r="AI380" s="4">
        <v>5</v>
      </c>
      <c r="AJ380" s="4">
        <v>12</v>
      </c>
      <c r="AK380" s="4">
        <v>13</v>
      </c>
      <c r="AL380" s="4">
        <v>3</v>
      </c>
      <c r="AM380" s="4">
        <v>3</v>
      </c>
      <c r="AN380" s="4">
        <v>0</v>
      </c>
      <c r="AO380" s="4">
        <v>0</v>
      </c>
      <c r="AP380" s="3" t="s">
        <v>58</v>
      </c>
      <c r="AQ380" s="3" t="s">
        <v>68</v>
      </c>
      <c r="AR380" s="6" t="str">
        <f>HYPERLINK("http://catalog.hathitrust.org/Record/000730061","HathiTrust Record")</f>
        <v>HathiTrust Record</v>
      </c>
      <c r="AS380" s="6" t="str">
        <f>HYPERLINK("https://creighton-primo.hosted.exlibrisgroup.com/primo-explore/search?tab=default_tab&amp;search_scope=EVERYTHING&amp;vid=01CRU&amp;lang=en_US&amp;offset=0&amp;query=any,contains,991004904579702656","Catalog Record")</f>
        <v>Catalog Record</v>
      </c>
      <c r="AT380" s="6" t="str">
        <f>HYPERLINK("http://www.worldcat.org/oclc/5946283","WorldCat Record")</f>
        <v>WorldCat Record</v>
      </c>
      <c r="AU380" s="3" t="s">
        <v>4978</v>
      </c>
      <c r="AV380" s="3" t="s">
        <v>4979</v>
      </c>
      <c r="AW380" s="3" t="s">
        <v>4980</v>
      </c>
      <c r="AX380" s="3" t="s">
        <v>4980</v>
      </c>
      <c r="AY380" s="3" t="s">
        <v>4981</v>
      </c>
      <c r="AZ380" s="3" t="s">
        <v>73</v>
      </c>
      <c r="BB380" s="3" t="s">
        <v>4982</v>
      </c>
      <c r="BC380" s="3" t="s">
        <v>4983</v>
      </c>
      <c r="BD380" s="3" t="s">
        <v>4984</v>
      </c>
    </row>
    <row r="381" spans="1:56" ht="45" customHeight="1" x14ac:dyDescent="0.25">
      <c r="A381" s="8" t="s">
        <v>58</v>
      </c>
      <c r="B381" s="2" t="s">
        <v>4985</v>
      </c>
      <c r="C381" s="2" t="s">
        <v>4986</v>
      </c>
      <c r="D381" s="2" t="s">
        <v>4987</v>
      </c>
      <c r="F381" s="3" t="s">
        <v>58</v>
      </c>
      <c r="G381" s="3" t="s">
        <v>59</v>
      </c>
      <c r="H381" s="3" t="s">
        <v>58</v>
      </c>
      <c r="I381" s="3" t="s">
        <v>58</v>
      </c>
      <c r="J381" s="3" t="s">
        <v>60</v>
      </c>
      <c r="K381" s="2" t="s">
        <v>4977</v>
      </c>
      <c r="L381" s="2" t="s">
        <v>2940</v>
      </c>
      <c r="M381" s="3" t="s">
        <v>1013</v>
      </c>
      <c r="O381" s="3" t="s">
        <v>64</v>
      </c>
      <c r="P381" s="3" t="s">
        <v>65</v>
      </c>
      <c r="Q381" s="2" t="s">
        <v>4988</v>
      </c>
      <c r="R381" s="3" t="s">
        <v>66</v>
      </c>
      <c r="S381" s="4">
        <v>10</v>
      </c>
      <c r="T381" s="4">
        <v>10</v>
      </c>
      <c r="U381" s="5" t="s">
        <v>4989</v>
      </c>
      <c r="V381" s="5" t="s">
        <v>4989</v>
      </c>
      <c r="W381" s="5" t="s">
        <v>4352</v>
      </c>
      <c r="X381" s="5" t="s">
        <v>4352</v>
      </c>
      <c r="Y381" s="4">
        <v>315</v>
      </c>
      <c r="Z381" s="4">
        <v>253</v>
      </c>
      <c r="AA381" s="4">
        <v>261</v>
      </c>
      <c r="AB381" s="4">
        <v>3</v>
      </c>
      <c r="AC381" s="4">
        <v>3</v>
      </c>
      <c r="AD381" s="4">
        <v>14</v>
      </c>
      <c r="AE381" s="4">
        <v>14</v>
      </c>
      <c r="AF381" s="4">
        <v>5</v>
      </c>
      <c r="AG381" s="4">
        <v>5</v>
      </c>
      <c r="AH381" s="4">
        <v>3</v>
      </c>
      <c r="AI381" s="4">
        <v>3</v>
      </c>
      <c r="AJ381" s="4">
        <v>10</v>
      </c>
      <c r="AK381" s="4">
        <v>10</v>
      </c>
      <c r="AL381" s="4">
        <v>2</v>
      </c>
      <c r="AM381" s="4">
        <v>2</v>
      </c>
      <c r="AN381" s="4">
        <v>0</v>
      </c>
      <c r="AO381" s="4">
        <v>0</v>
      </c>
      <c r="AP381" s="3" t="s">
        <v>58</v>
      </c>
      <c r="AQ381" s="3" t="s">
        <v>68</v>
      </c>
      <c r="AR381" s="6" t="str">
        <f>HYPERLINK("http://catalog.hathitrust.org/Record/000584066","HathiTrust Record")</f>
        <v>HathiTrust Record</v>
      </c>
      <c r="AS381" s="6" t="str">
        <f>HYPERLINK("https://creighton-primo.hosted.exlibrisgroup.com/primo-explore/search?tab=default_tab&amp;search_scope=EVERYTHING&amp;vid=01CRU&amp;lang=en_US&amp;offset=0&amp;query=any,contains,991000704999702656","Catalog Record")</f>
        <v>Catalog Record</v>
      </c>
      <c r="AT381" s="6" t="str">
        <f>HYPERLINK("http://www.worldcat.org/oclc/12556510","WorldCat Record")</f>
        <v>WorldCat Record</v>
      </c>
      <c r="AU381" s="3" t="s">
        <v>4990</v>
      </c>
      <c r="AV381" s="3" t="s">
        <v>4991</v>
      </c>
      <c r="AW381" s="3" t="s">
        <v>4992</v>
      </c>
      <c r="AX381" s="3" t="s">
        <v>4992</v>
      </c>
      <c r="AY381" s="3" t="s">
        <v>4993</v>
      </c>
      <c r="AZ381" s="3" t="s">
        <v>73</v>
      </c>
      <c r="BB381" s="3" t="s">
        <v>4994</v>
      </c>
      <c r="BC381" s="3" t="s">
        <v>4995</v>
      </c>
      <c r="BD381" s="3" t="s">
        <v>4996</v>
      </c>
    </row>
    <row r="382" spans="1:56" ht="45" customHeight="1" x14ac:dyDescent="0.25">
      <c r="A382" s="8" t="s">
        <v>58</v>
      </c>
      <c r="B382" s="2" t="s">
        <v>4997</v>
      </c>
      <c r="C382" s="2" t="s">
        <v>4998</v>
      </c>
      <c r="D382" s="2" t="s">
        <v>4999</v>
      </c>
      <c r="F382" s="3" t="s">
        <v>58</v>
      </c>
      <c r="G382" s="3" t="s">
        <v>59</v>
      </c>
      <c r="H382" s="3" t="s">
        <v>58</v>
      </c>
      <c r="I382" s="3" t="s">
        <v>58</v>
      </c>
      <c r="J382" s="3" t="s">
        <v>60</v>
      </c>
      <c r="K382" s="2" t="s">
        <v>5000</v>
      </c>
      <c r="L382" s="2" t="s">
        <v>5001</v>
      </c>
      <c r="M382" s="3" t="s">
        <v>129</v>
      </c>
      <c r="O382" s="3" t="s">
        <v>64</v>
      </c>
      <c r="P382" s="3" t="s">
        <v>422</v>
      </c>
      <c r="R382" s="3" t="s">
        <v>66</v>
      </c>
      <c r="S382" s="4">
        <v>10</v>
      </c>
      <c r="T382" s="4">
        <v>10</v>
      </c>
      <c r="U382" s="5" t="s">
        <v>5002</v>
      </c>
      <c r="V382" s="5" t="s">
        <v>5002</v>
      </c>
      <c r="W382" s="5" t="s">
        <v>5003</v>
      </c>
      <c r="X382" s="5" t="s">
        <v>5003</v>
      </c>
      <c r="Y382" s="4">
        <v>274</v>
      </c>
      <c r="Z382" s="4">
        <v>215</v>
      </c>
      <c r="AA382" s="4">
        <v>287</v>
      </c>
      <c r="AB382" s="4">
        <v>4</v>
      </c>
      <c r="AC382" s="4">
        <v>4</v>
      </c>
      <c r="AD382" s="4">
        <v>8</v>
      </c>
      <c r="AE382" s="4">
        <v>9</v>
      </c>
      <c r="AF382" s="4">
        <v>2</v>
      </c>
      <c r="AG382" s="4">
        <v>3</v>
      </c>
      <c r="AH382" s="4">
        <v>1</v>
      </c>
      <c r="AI382" s="4">
        <v>1</v>
      </c>
      <c r="AJ382" s="4">
        <v>5</v>
      </c>
      <c r="AK382" s="4">
        <v>5</v>
      </c>
      <c r="AL382" s="4">
        <v>2</v>
      </c>
      <c r="AM382" s="4">
        <v>2</v>
      </c>
      <c r="AN382" s="4">
        <v>0</v>
      </c>
      <c r="AO382" s="4">
        <v>0</v>
      </c>
      <c r="AP382" s="3" t="s">
        <v>58</v>
      </c>
      <c r="AQ382" s="3" t="s">
        <v>58</v>
      </c>
      <c r="AS382" s="6" t="str">
        <f>HYPERLINK("https://creighton-primo.hosted.exlibrisgroup.com/primo-explore/search?tab=default_tab&amp;search_scope=EVERYTHING&amp;vid=01CRU&amp;lang=en_US&amp;offset=0&amp;query=any,contains,991003991689702656","Catalog Record")</f>
        <v>Catalog Record</v>
      </c>
      <c r="AT382" s="6" t="str">
        <f>HYPERLINK("http://www.worldcat.org/oclc/2047956","WorldCat Record")</f>
        <v>WorldCat Record</v>
      </c>
      <c r="AU382" s="3" t="s">
        <v>5004</v>
      </c>
      <c r="AV382" s="3" t="s">
        <v>5005</v>
      </c>
      <c r="AW382" s="3" t="s">
        <v>5006</v>
      </c>
      <c r="AX382" s="3" t="s">
        <v>5006</v>
      </c>
      <c r="AY382" s="3" t="s">
        <v>5007</v>
      </c>
      <c r="AZ382" s="3" t="s">
        <v>73</v>
      </c>
      <c r="BB382" s="3" t="s">
        <v>5008</v>
      </c>
      <c r="BC382" s="3" t="s">
        <v>5009</v>
      </c>
      <c r="BD382" s="3" t="s">
        <v>5010</v>
      </c>
    </row>
    <row r="383" spans="1:56" ht="45" customHeight="1" x14ac:dyDescent="0.25">
      <c r="A383" s="8" t="s">
        <v>58</v>
      </c>
      <c r="B383" s="2" t="s">
        <v>5011</v>
      </c>
      <c r="C383" s="2" t="s">
        <v>5012</v>
      </c>
      <c r="D383" s="2" t="s">
        <v>5013</v>
      </c>
      <c r="F383" s="3" t="s">
        <v>58</v>
      </c>
      <c r="G383" s="3" t="s">
        <v>59</v>
      </c>
      <c r="H383" s="3" t="s">
        <v>68</v>
      </c>
      <c r="I383" s="3" t="s">
        <v>58</v>
      </c>
      <c r="J383" s="3" t="s">
        <v>60</v>
      </c>
      <c r="L383" s="2" t="s">
        <v>5014</v>
      </c>
      <c r="M383" s="3" t="s">
        <v>681</v>
      </c>
      <c r="N383" s="2" t="s">
        <v>567</v>
      </c>
      <c r="O383" s="3" t="s">
        <v>64</v>
      </c>
      <c r="P383" s="3" t="s">
        <v>4508</v>
      </c>
      <c r="R383" s="3" t="s">
        <v>66</v>
      </c>
      <c r="S383" s="4">
        <v>4</v>
      </c>
      <c r="T383" s="4">
        <v>4</v>
      </c>
      <c r="U383" s="5" t="s">
        <v>5015</v>
      </c>
      <c r="V383" s="5" t="s">
        <v>5015</v>
      </c>
      <c r="W383" s="5" t="s">
        <v>2995</v>
      </c>
      <c r="X383" s="5" t="s">
        <v>2995</v>
      </c>
      <c r="Y383" s="4">
        <v>261</v>
      </c>
      <c r="Z383" s="4">
        <v>258</v>
      </c>
      <c r="AA383" s="4">
        <v>272</v>
      </c>
      <c r="AB383" s="4">
        <v>4</v>
      </c>
      <c r="AC383" s="4">
        <v>4</v>
      </c>
      <c r="AD383" s="4">
        <v>6</v>
      </c>
      <c r="AE383" s="4">
        <v>6</v>
      </c>
      <c r="AF383" s="4">
        <v>2</v>
      </c>
      <c r="AG383" s="4">
        <v>2</v>
      </c>
      <c r="AH383" s="4">
        <v>0</v>
      </c>
      <c r="AI383" s="4">
        <v>0</v>
      </c>
      <c r="AJ383" s="4">
        <v>2</v>
      </c>
      <c r="AK383" s="4">
        <v>2</v>
      </c>
      <c r="AL383" s="4">
        <v>2</v>
      </c>
      <c r="AM383" s="4">
        <v>2</v>
      </c>
      <c r="AN383" s="4">
        <v>0</v>
      </c>
      <c r="AO383" s="4">
        <v>0</v>
      </c>
      <c r="AP383" s="3" t="s">
        <v>58</v>
      </c>
      <c r="AQ383" s="3" t="s">
        <v>58</v>
      </c>
      <c r="AS383" s="6" t="str">
        <f>HYPERLINK("https://creighton-primo.hosted.exlibrisgroup.com/primo-explore/search?tab=default_tab&amp;search_scope=EVERYTHING&amp;vid=01CRU&amp;lang=en_US&amp;offset=0&amp;query=any,contains,991001761129702656","Catalog Record")</f>
        <v>Catalog Record</v>
      </c>
      <c r="AT383" s="6" t="str">
        <f>HYPERLINK("http://www.worldcat.org/oclc/9954542","WorldCat Record")</f>
        <v>WorldCat Record</v>
      </c>
      <c r="AU383" s="3" t="s">
        <v>5016</v>
      </c>
      <c r="AV383" s="3" t="s">
        <v>5017</v>
      </c>
      <c r="AW383" s="3" t="s">
        <v>5018</v>
      </c>
      <c r="AX383" s="3" t="s">
        <v>5018</v>
      </c>
      <c r="AY383" s="3" t="s">
        <v>5019</v>
      </c>
      <c r="AZ383" s="3" t="s">
        <v>73</v>
      </c>
      <c r="BC383" s="3" t="s">
        <v>5020</v>
      </c>
      <c r="BD383" s="3" t="s">
        <v>5021</v>
      </c>
    </row>
    <row r="384" spans="1:56" ht="45" customHeight="1" x14ac:dyDescent="0.25">
      <c r="A384" s="8" t="s">
        <v>58</v>
      </c>
      <c r="B384" s="2" t="s">
        <v>5022</v>
      </c>
      <c r="C384" s="2" t="s">
        <v>5023</v>
      </c>
      <c r="D384" s="2" t="s">
        <v>5024</v>
      </c>
      <c r="F384" s="3" t="s">
        <v>58</v>
      </c>
      <c r="G384" s="3" t="s">
        <v>59</v>
      </c>
      <c r="H384" s="3" t="s">
        <v>58</v>
      </c>
      <c r="I384" s="3" t="s">
        <v>58</v>
      </c>
      <c r="J384" s="3" t="s">
        <v>60</v>
      </c>
      <c r="K384" s="2" t="s">
        <v>5025</v>
      </c>
      <c r="L384" s="2" t="s">
        <v>5026</v>
      </c>
      <c r="M384" s="3" t="s">
        <v>450</v>
      </c>
      <c r="N384" s="2" t="s">
        <v>875</v>
      </c>
      <c r="O384" s="3" t="s">
        <v>64</v>
      </c>
      <c r="P384" s="3" t="s">
        <v>99</v>
      </c>
      <c r="R384" s="3" t="s">
        <v>66</v>
      </c>
      <c r="S384" s="4">
        <v>36</v>
      </c>
      <c r="T384" s="4">
        <v>36</v>
      </c>
      <c r="U384" s="5" t="s">
        <v>5027</v>
      </c>
      <c r="V384" s="5" t="s">
        <v>5027</v>
      </c>
      <c r="W384" s="5" t="s">
        <v>4352</v>
      </c>
      <c r="X384" s="5" t="s">
        <v>4352</v>
      </c>
      <c r="Y384" s="4">
        <v>60</v>
      </c>
      <c r="Z384" s="4">
        <v>52</v>
      </c>
      <c r="AA384" s="4">
        <v>85</v>
      </c>
      <c r="AB384" s="4">
        <v>2</v>
      </c>
      <c r="AC384" s="4">
        <v>3</v>
      </c>
      <c r="AD384" s="4">
        <v>2</v>
      </c>
      <c r="AE384" s="4">
        <v>3</v>
      </c>
      <c r="AF384" s="4">
        <v>0</v>
      </c>
      <c r="AG384" s="4">
        <v>0</v>
      </c>
      <c r="AH384" s="4">
        <v>0</v>
      </c>
      <c r="AI384" s="4">
        <v>0</v>
      </c>
      <c r="AJ384" s="4">
        <v>1</v>
      </c>
      <c r="AK384" s="4">
        <v>1</v>
      </c>
      <c r="AL384" s="4">
        <v>1</v>
      </c>
      <c r="AM384" s="4">
        <v>2</v>
      </c>
      <c r="AN384" s="4">
        <v>0</v>
      </c>
      <c r="AO384" s="4">
        <v>0</v>
      </c>
      <c r="AP384" s="3" t="s">
        <v>58</v>
      </c>
      <c r="AQ384" s="3" t="s">
        <v>58</v>
      </c>
      <c r="AS384" s="6" t="str">
        <f>HYPERLINK("https://creighton-primo.hosted.exlibrisgroup.com/primo-explore/search?tab=default_tab&amp;search_scope=EVERYTHING&amp;vid=01CRU&amp;lang=en_US&amp;offset=0&amp;query=any,contains,991001253259702656","Catalog Record")</f>
        <v>Catalog Record</v>
      </c>
      <c r="AT384" s="6" t="str">
        <f>HYPERLINK("http://www.worldcat.org/oclc/17687890","WorldCat Record")</f>
        <v>WorldCat Record</v>
      </c>
      <c r="AU384" s="3" t="s">
        <v>5028</v>
      </c>
      <c r="AV384" s="3" t="s">
        <v>5029</v>
      </c>
      <c r="AW384" s="3" t="s">
        <v>5030</v>
      </c>
      <c r="AX384" s="3" t="s">
        <v>5030</v>
      </c>
      <c r="AY384" s="3" t="s">
        <v>5031</v>
      </c>
      <c r="AZ384" s="3" t="s">
        <v>73</v>
      </c>
      <c r="BC384" s="3" t="s">
        <v>5032</v>
      </c>
      <c r="BD384" s="3" t="s">
        <v>5033</v>
      </c>
    </row>
    <row r="385" spans="1:56" ht="45" customHeight="1" x14ac:dyDescent="0.25">
      <c r="A385" s="8" t="s">
        <v>58</v>
      </c>
      <c r="B385" s="2" t="s">
        <v>5034</v>
      </c>
      <c r="C385" s="2" t="s">
        <v>5035</v>
      </c>
      <c r="D385" s="2" t="s">
        <v>5036</v>
      </c>
      <c r="F385" s="3" t="s">
        <v>58</v>
      </c>
      <c r="G385" s="3" t="s">
        <v>59</v>
      </c>
      <c r="H385" s="3" t="s">
        <v>58</v>
      </c>
      <c r="I385" s="3" t="s">
        <v>58</v>
      </c>
      <c r="J385" s="3" t="s">
        <v>60</v>
      </c>
      <c r="L385" s="2" t="s">
        <v>5037</v>
      </c>
      <c r="M385" s="3" t="s">
        <v>407</v>
      </c>
      <c r="N385" s="2" t="s">
        <v>5038</v>
      </c>
      <c r="O385" s="3" t="s">
        <v>64</v>
      </c>
      <c r="P385" s="3" t="s">
        <v>99</v>
      </c>
      <c r="R385" s="3" t="s">
        <v>66</v>
      </c>
      <c r="S385" s="4">
        <v>6</v>
      </c>
      <c r="T385" s="4">
        <v>6</v>
      </c>
      <c r="U385" s="5" t="s">
        <v>5039</v>
      </c>
      <c r="V385" s="5" t="s">
        <v>5039</v>
      </c>
      <c r="W385" s="5" t="s">
        <v>5040</v>
      </c>
      <c r="X385" s="5" t="s">
        <v>5040</v>
      </c>
      <c r="Y385" s="4">
        <v>313</v>
      </c>
      <c r="Z385" s="4">
        <v>266</v>
      </c>
      <c r="AA385" s="4">
        <v>268</v>
      </c>
      <c r="AB385" s="4">
        <v>3</v>
      </c>
      <c r="AC385" s="4">
        <v>3</v>
      </c>
      <c r="AD385" s="4">
        <v>10</v>
      </c>
      <c r="AE385" s="4">
        <v>10</v>
      </c>
      <c r="AF385" s="4">
        <v>1</v>
      </c>
      <c r="AG385" s="4">
        <v>1</v>
      </c>
      <c r="AH385" s="4">
        <v>2</v>
      </c>
      <c r="AI385" s="4">
        <v>2</v>
      </c>
      <c r="AJ385" s="4">
        <v>8</v>
      </c>
      <c r="AK385" s="4">
        <v>8</v>
      </c>
      <c r="AL385" s="4">
        <v>1</v>
      </c>
      <c r="AM385" s="4">
        <v>1</v>
      </c>
      <c r="AN385" s="4">
        <v>0</v>
      </c>
      <c r="AO385" s="4">
        <v>0</v>
      </c>
      <c r="AP385" s="3" t="s">
        <v>58</v>
      </c>
      <c r="AQ385" s="3" t="s">
        <v>58</v>
      </c>
      <c r="AS385" s="6" t="str">
        <f>HYPERLINK("https://creighton-primo.hosted.exlibrisgroup.com/primo-explore/search?tab=default_tab&amp;search_scope=EVERYTHING&amp;vid=01CRU&amp;lang=en_US&amp;offset=0&amp;query=any,contains,991004215139702656","Catalog Record")</f>
        <v>Catalog Record</v>
      </c>
      <c r="AT385" s="6" t="str">
        <f>HYPERLINK("http://www.worldcat.org/oclc/2695068","WorldCat Record")</f>
        <v>WorldCat Record</v>
      </c>
      <c r="AU385" s="3" t="s">
        <v>5041</v>
      </c>
      <c r="AV385" s="3" t="s">
        <v>5042</v>
      </c>
      <c r="AW385" s="3" t="s">
        <v>5043</v>
      </c>
      <c r="AX385" s="3" t="s">
        <v>5043</v>
      </c>
      <c r="AY385" s="3" t="s">
        <v>5044</v>
      </c>
      <c r="AZ385" s="3" t="s">
        <v>73</v>
      </c>
      <c r="BB385" s="3" t="s">
        <v>5045</v>
      </c>
      <c r="BC385" s="3" t="s">
        <v>5046</v>
      </c>
      <c r="BD385" s="3" t="s">
        <v>5047</v>
      </c>
    </row>
    <row r="386" spans="1:56" ht="45" customHeight="1" x14ac:dyDescent="0.25">
      <c r="A386" s="8" t="s">
        <v>58</v>
      </c>
      <c r="B386" s="2" t="s">
        <v>5048</v>
      </c>
      <c r="C386" s="2" t="s">
        <v>5049</v>
      </c>
      <c r="D386" s="2" t="s">
        <v>5050</v>
      </c>
      <c r="F386" s="3" t="s">
        <v>58</v>
      </c>
      <c r="G386" s="3" t="s">
        <v>59</v>
      </c>
      <c r="H386" s="3" t="s">
        <v>58</v>
      </c>
      <c r="I386" s="3" t="s">
        <v>58</v>
      </c>
      <c r="J386" s="3" t="s">
        <v>60</v>
      </c>
      <c r="L386" s="2" t="s">
        <v>3793</v>
      </c>
      <c r="M386" s="3" t="s">
        <v>393</v>
      </c>
      <c r="O386" s="3" t="s">
        <v>64</v>
      </c>
      <c r="P386" s="3" t="s">
        <v>177</v>
      </c>
      <c r="R386" s="3" t="s">
        <v>66</v>
      </c>
      <c r="S386" s="4">
        <v>25</v>
      </c>
      <c r="T386" s="4">
        <v>25</v>
      </c>
      <c r="U386" s="5" t="s">
        <v>4950</v>
      </c>
      <c r="V386" s="5" t="s">
        <v>4950</v>
      </c>
      <c r="W386" s="5" t="s">
        <v>4951</v>
      </c>
      <c r="X386" s="5" t="s">
        <v>4951</v>
      </c>
      <c r="Y386" s="4">
        <v>592</v>
      </c>
      <c r="Z386" s="4">
        <v>445</v>
      </c>
      <c r="AA386" s="4">
        <v>447</v>
      </c>
      <c r="AB386" s="4">
        <v>4</v>
      </c>
      <c r="AC386" s="4">
        <v>4</v>
      </c>
      <c r="AD386" s="4">
        <v>17</v>
      </c>
      <c r="AE386" s="4">
        <v>17</v>
      </c>
      <c r="AF386" s="4">
        <v>6</v>
      </c>
      <c r="AG386" s="4">
        <v>6</v>
      </c>
      <c r="AH386" s="4">
        <v>3</v>
      </c>
      <c r="AI386" s="4">
        <v>3</v>
      </c>
      <c r="AJ386" s="4">
        <v>9</v>
      </c>
      <c r="AK386" s="4">
        <v>9</v>
      </c>
      <c r="AL386" s="4">
        <v>2</v>
      </c>
      <c r="AM386" s="4">
        <v>2</v>
      </c>
      <c r="AN386" s="4">
        <v>0</v>
      </c>
      <c r="AO386" s="4">
        <v>0</v>
      </c>
      <c r="AP386" s="3" t="s">
        <v>58</v>
      </c>
      <c r="AQ386" s="3" t="s">
        <v>68</v>
      </c>
      <c r="AR386" s="6" t="str">
        <f>HYPERLINK("http://catalog.hathitrust.org/Record/000732355","HathiTrust Record")</f>
        <v>HathiTrust Record</v>
      </c>
      <c r="AS386" s="6" t="str">
        <f>HYPERLINK("https://creighton-primo.hosted.exlibrisgroup.com/primo-explore/search?tab=default_tab&amp;search_scope=EVERYTHING&amp;vid=01CRU&amp;lang=en_US&amp;offset=0&amp;query=any,contains,991004911069702656","Catalog Record")</f>
        <v>Catalog Record</v>
      </c>
      <c r="AT386" s="6" t="str">
        <f>HYPERLINK("http://www.worldcat.org/oclc/5992215","WorldCat Record")</f>
        <v>WorldCat Record</v>
      </c>
      <c r="AU386" s="3" t="s">
        <v>5051</v>
      </c>
      <c r="AV386" s="3" t="s">
        <v>5052</v>
      </c>
      <c r="AW386" s="3" t="s">
        <v>5053</v>
      </c>
      <c r="AX386" s="3" t="s">
        <v>5053</v>
      </c>
      <c r="AY386" s="3" t="s">
        <v>5054</v>
      </c>
      <c r="AZ386" s="3" t="s">
        <v>73</v>
      </c>
      <c r="BB386" s="3" t="s">
        <v>5055</v>
      </c>
      <c r="BC386" s="3" t="s">
        <v>5056</v>
      </c>
      <c r="BD386" s="3" t="s">
        <v>5057</v>
      </c>
    </row>
    <row r="387" spans="1:56" ht="45" customHeight="1" x14ac:dyDescent="0.25">
      <c r="A387" s="8" t="s">
        <v>58</v>
      </c>
      <c r="B387" s="2" t="s">
        <v>5058</v>
      </c>
      <c r="C387" s="2" t="s">
        <v>5059</v>
      </c>
      <c r="D387" s="2" t="s">
        <v>5060</v>
      </c>
      <c r="F387" s="3" t="s">
        <v>58</v>
      </c>
      <c r="G387" s="3" t="s">
        <v>59</v>
      </c>
      <c r="H387" s="3" t="s">
        <v>58</v>
      </c>
      <c r="I387" s="3" t="s">
        <v>58</v>
      </c>
      <c r="J387" s="3" t="s">
        <v>60</v>
      </c>
      <c r="K387" s="2" t="s">
        <v>5061</v>
      </c>
      <c r="L387" s="2" t="s">
        <v>5062</v>
      </c>
      <c r="M387" s="3" t="s">
        <v>378</v>
      </c>
      <c r="O387" s="3" t="s">
        <v>64</v>
      </c>
      <c r="P387" s="3" t="s">
        <v>177</v>
      </c>
      <c r="R387" s="3" t="s">
        <v>66</v>
      </c>
      <c r="S387" s="4">
        <v>21</v>
      </c>
      <c r="T387" s="4">
        <v>21</v>
      </c>
      <c r="U387" s="5" t="s">
        <v>5063</v>
      </c>
      <c r="V387" s="5" t="s">
        <v>5063</v>
      </c>
      <c r="W387" s="5" t="s">
        <v>4352</v>
      </c>
      <c r="X387" s="5" t="s">
        <v>4352</v>
      </c>
      <c r="Y387" s="4">
        <v>315</v>
      </c>
      <c r="Z387" s="4">
        <v>282</v>
      </c>
      <c r="AA387" s="4">
        <v>321</v>
      </c>
      <c r="AB387" s="4">
        <v>2</v>
      </c>
      <c r="AC387" s="4">
        <v>3</v>
      </c>
      <c r="AD387" s="4">
        <v>1</v>
      </c>
      <c r="AE387" s="4">
        <v>2</v>
      </c>
      <c r="AF387" s="4">
        <v>0</v>
      </c>
      <c r="AG387" s="4">
        <v>0</v>
      </c>
      <c r="AH387" s="4">
        <v>0</v>
      </c>
      <c r="AI387" s="4">
        <v>0</v>
      </c>
      <c r="AJ387" s="4">
        <v>1</v>
      </c>
      <c r="AK387" s="4">
        <v>1</v>
      </c>
      <c r="AL387" s="4">
        <v>0</v>
      </c>
      <c r="AM387" s="4">
        <v>1</v>
      </c>
      <c r="AN387" s="4">
        <v>0</v>
      </c>
      <c r="AO387" s="4">
        <v>0</v>
      </c>
      <c r="AP387" s="3" t="s">
        <v>58</v>
      </c>
      <c r="AQ387" s="3" t="s">
        <v>68</v>
      </c>
      <c r="AR387" s="6" t="str">
        <f>HYPERLINK("http://catalog.hathitrust.org/Record/000121347","HathiTrust Record")</f>
        <v>HathiTrust Record</v>
      </c>
      <c r="AS387" s="6" t="str">
        <f>HYPERLINK("https://creighton-primo.hosted.exlibrisgroup.com/primo-explore/search?tab=default_tab&amp;search_scope=EVERYTHING&amp;vid=01CRU&amp;lang=en_US&amp;offset=0&amp;query=any,contains,991000367149702656","Catalog Record")</f>
        <v>Catalog Record</v>
      </c>
      <c r="AT387" s="6" t="str">
        <f>HYPERLINK("http://www.worldcat.org/oclc/10404131","WorldCat Record")</f>
        <v>WorldCat Record</v>
      </c>
      <c r="AU387" s="3" t="s">
        <v>5064</v>
      </c>
      <c r="AV387" s="3" t="s">
        <v>5065</v>
      </c>
      <c r="AW387" s="3" t="s">
        <v>5066</v>
      </c>
      <c r="AX387" s="3" t="s">
        <v>5066</v>
      </c>
      <c r="AY387" s="3" t="s">
        <v>5067</v>
      </c>
      <c r="AZ387" s="3" t="s">
        <v>73</v>
      </c>
      <c r="BB387" s="3" t="s">
        <v>5068</v>
      </c>
      <c r="BC387" s="3" t="s">
        <v>5069</v>
      </c>
      <c r="BD387" s="3" t="s">
        <v>5070</v>
      </c>
    </row>
    <row r="388" spans="1:56" ht="45" customHeight="1" x14ac:dyDescent="0.25">
      <c r="A388" s="8" t="s">
        <v>58</v>
      </c>
      <c r="B388" s="2" t="s">
        <v>5071</v>
      </c>
      <c r="C388" s="2" t="s">
        <v>5072</v>
      </c>
      <c r="D388" s="2" t="s">
        <v>5073</v>
      </c>
      <c r="F388" s="3" t="s">
        <v>58</v>
      </c>
      <c r="G388" s="3" t="s">
        <v>59</v>
      </c>
      <c r="H388" s="3" t="s">
        <v>58</v>
      </c>
      <c r="I388" s="3" t="s">
        <v>58</v>
      </c>
      <c r="J388" s="3" t="s">
        <v>60</v>
      </c>
      <c r="L388" s="2" t="s">
        <v>5074</v>
      </c>
      <c r="M388" s="3" t="s">
        <v>407</v>
      </c>
      <c r="O388" s="3" t="s">
        <v>64</v>
      </c>
      <c r="P388" s="3" t="s">
        <v>99</v>
      </c>
      <c r="R388" s="3" t="s">
        <v>66</v>
      </c>
      <c r="S388" s="4">
        <v>9</v>
      </c>
      <c r="T388" s="4">
        <v>9</v>
      </c>
      <c r="U388" s="5" t="s">
        <v>2811</v>
      </c>
      <c r="V388" s="5" t="s">
        <v>2811</v>
      </c>
      <c r="W388" s="5" t="s">
        <v>5075</v>
      </c>
      <c r="X388" s="5" t="s">
        <v>5075</v>
      </c>
      <c r="Y388" s="4">
        <v>336</v>
      </c>
      <c r="Z388" s="4">
        <v>275</v>
      </c>
      <c r="AA388" s="4">
        <v>281</v>
      </c>
      <c r="AB388" s="4">
        <v>3</v>
      </c>
      <c r="AC388" s="4">
        <v>3</v>
      </c>
      <c r="AD388" s="4">
        <v>6</v>
      </c>
      <c r="AE388" s="4">
        <v>6</v>
      </c>
      <c r="AF388" s="4">
        <v>2</v>
      </c>
      <c r="AG388" s="4">
        <v>2</v>
      </c>
      <c r="AH388" s="4">
        <v>1</v>
      </c>
      <c r="AI388" s="4">
        <v>1</v>
      </c>
      <c r="AJ388" s="4">
        <v>5</v>
      </c>
      <c r="AK388" s="4">
        <v>5</v>
      </c>
      <c r="AL388" s="4">
        <v>1</v>
      </c>
      <c r="AM388" s="4">
        <v>1</v>
      </c>
      <c r="AN388" s="4">
        <v>0</v>
      </c>
      <c r="AO388" s="4">
        <v>0</v>
      </c>
      <c r="AP388" s="3" t="s">
        <v>58</v>
      </c>
      <c r="AQ388" s="3" t="s">
        <v>68</v>
      </c>
      <c r="AR388" s="6" t="str">
        <f>HYPERLINK("http://catalog.hathitrust.org/Record/007469876","HathiTrust Record")</f>
        <v>HathiTrust Record</v>
      </c>
      <c r="AS388" s="6" t="str">
        <f>HYPERLINK("https://creighton-primo.hosted.exlibrisgroup.com/primo-explore/search?tab=default_tab&amp;search_scope=EVERYTHING&amp;vid=01CRU&amp;lang=en_US&amp;offset=0&amp;query=any,contains,991004320919702656","Catalog Record")</f>
        <v>Catalog Record</v>
      </c>
      <c r="AT388" s="6" t="str">
        <f>HYPERLINK("http://www.worldcat.org/oclc/3017798","WorldCat Record")</f>
        <v>WorldCat Record</v>
      </c>
      <c r="AU388" s="3" t="s">
        <v>5076</v>
      </c>
      <c r="AV388" s="3" t="s">
        <v>5077</v>
      </c>
      <c r="AW388" s="3" t="s">
        <v>5078</v>
      </c>
      <c r="AX388" s="3" t="s">
        <v>5078</v>
      </c>
      <c r="AY388" s="3" t="s">
        <v>5079</v>
      </c>
      <c r="AZ388" s="3" t="s">
        <v>73</v>
      </c>
      <c r="BB388" s="3" t="s">
        <v>5080</v>
      </c>
      <c r="BC388" s="3" t="s">
        <v>5081</v>
      </c>
      <c r="BD388" s="3" t="s">
        <v>5082</v>
      </c>
    </row>
    <row r="389" spans="1:56" ht="45" customHeight="1" x14ac:dyDescent="0.25">
      <c r="A389" s="8" t="s">
        <v>58</v>
      </c>
      <c r="B389" s="2" t="s">
        <v>5083</v>
      </c>
      <c r="C389" s="2" t="s">
        <v>5084</v>
      </c>
      <c r="D389" s="2" t="s">
        <v>5085</v>
      </c>
      <c r="F389" s="3" t="s">
        <v>58</v>
      </c>
      <c r="G389" s="3" t="s">
        <v>59</v>
      </c>
      <c r="H389" s="3" t="s">
        <v>58</v>
      </c>
      <c r="I389" s="3" t="s">
        <v>58</v>
      </c>
      <c r="J389" s="3" t="s">
        <v>60</v>
      </c>
      <c r="K389" s="2" t="s">
        <v>5086</v>
      </c>
      <c r="L389" s="2" t="s">
        <v>263</v>
      </c>
      <c r="M389" s="3" t="s">
        <v>129</v>
      </c>
      <c r="O389" s="3" t="s">
        <v>64</v>
      </c>
      <c r="P389" s="3" t="s">
        <v>177</v>
      </c>
      <c r="Q389" s="2" t="s">
        <v>264</v>
      </c>
      <c r="R389" s="3" t="s">
        <v>66</v>
      </c>
      <c r="S389" s="4">
        <v>15</v>
      </c>
      <c r="T389" s="4">
        <v>15</v>
      </c>
      <c r="U389" s="5" t="s">
        <v>4950</v>
      </c>
      <c r="V389" s="5" t="s">
        <v>4950</v>
      </c>
      <c r="W389" s="5" t="s">
        <v>5003</v>
      </c>
      <c r="X389" s="5" t="s">
        <v>5003</v>
      </c>
      <c r="Y389" s="4">
        <v>489</v>
      </c>
      <c r="Z389" s="4">
        <v>381</v>
      </c>
      <c r="AA389" s="4">
        <v>390</v>
      </c>
      <c r="AB389" s="4">
        <v>4</v>
      </c>
      <c r="AC389" s="4">
        <v>4</v>
      </c>
      <c r="AD389" s="4">
        <v>14</v>
      </c>
      <c r="AE389" s="4">
        <v>14</v>
      </c>
      <c r="AF389" s="4">
        <v>6</v>
      </c>
      <c r="AG389" s="4">
        <v>6</v>
      </c>
      <c r="AH389" s="4">
        <v>3</v>
      </c>
      <c r="AI389" s="4">
        <v>3</v>
      </c>
      <c r="AJ389" s="4">
        <v>9</v>
      </c>
      <c r="AK389" s="4">
        <v>9</v>
      </c>
      <c r="AL389" s="4">
        <v>1</v>
      </c>
      <c r="AM389" s="4">
        <v>1</v>
      </c>
      <c r="AN389" s="4">
        <v>0</v>
      </c>
      <c r="AO389" s="4">
        <v>0</v>
      </c>
      <c r="AP389" s="3" t="s">
        <v>58</v>
      </c>
      <c r="AQ389" s="3" t="s">
        <v>68</v>
      </c>
      <c r="AR389" s="6" t="str">
        <f>HYPERLINK("http://catalog.hathitrust.org/Record/000702795","HathiTrust Record")</f>
        <v>HathiTrust Record</v>
      </c>
      <c r="AS389" s="6" t="str">
        <f>HYPERLINK("https://creighton-primo.hosted.exlibrisgroup.com/primo-explore/search?tab=default_tab&amp;search_scope=EVERYTHING&amp;vid=01CRU&amp;lang=en_US&amp;offset=0&amp;query=any,contains,991004002189702656","Catalog Record")</f>
        <v>Catalog Record</v>
      </c>
      <c r="AT389" s="6" t="str">
        <f>HYPERLINK("http://www.worldcat.org/oclc/2074404","WorldCat Record")</f>
        <v>WorldCat Record</v>
      </c>
      <c r="AU389" s="3" t="s">
        <v>5087</v>
      </c>
      <c r="AV389" s="3" t="s">
        <v>5088</v>
      </c>
      <c r="AW389" s="3" t="s">
        <v>5089</v>
      </c>
      <c r="AX389" s="3" t="s">
        <v>5089</v>
      </c>
      <c r="AY389" s="3" t="s">
        <v>5090</v>
      </c>
      <c r="AZ389" s="3" t="s">
        <v>73</v>
      </c>
      <c r="BB389" s="3" t="s">
        <v>5091</v>
      </c>
      <c r="BC389" s="3" t="s">
        <v>5092</v>
      </c>
      <c r="BD389" s="3" t="s">
        <v>5093</v>
      </c>
    </row>
    <row r="390" spans="1:56" ht="45" customHeight="1" x14ac:dyDescent="0.25">
      <c r="A390" s="8" t="s">
        <v>58</v>
      </c>
      <c r="B390" s="2" t="s">
        <v>5094</v>
      </c>
      <c r="C390" s="2" t="s">
        <v>5095</v>
      </c>
      <c r="D390" s="2" t="s">
        <v>5096</v>
      </c>
      <c r="F390" s="3" t="s">
        <v>58</v>
      </c>
      <c r="G390" s="3" t="s">
        <v>59</v>
      </c>
      <c r="H390" s="3" t="s">
        <v>58</v>
      </c>
      <c r="I390" s="3" t="s">
        <v>58</v>
      </c>
      <c r="J390" s="3" t="s">
        <v>60</v>
      </c>
      <c r="K390" s="2" t="s">
        <v>5097</v>
      </c>
      <c r="L390" s="2" t="s">
        <v>5098</v>
      </c>
      <c r="M390" s="3" t="s">
        <v>129</v>
      </c>
      <c r="O390" s="3" t="s">
        <v>64</v>
      </c>
      <c r="P390" s="3" t="s">
        <v>191</v>
      </c>
      <c r="R390" s="3" t="s">
        <v>66</v>
      </c>
      <c r="S390" s="4">
        <v>11</v>
      </c>
      <c r="T390" s="4">
        <v>11</v>
      </c>
      <c r="U390" s="5" t="s">
        <v>3162</v>
      </c>
      <c r="V390" s="5" t="s">
        <v>3162</v>
      </c>
      <c r="W390" s="5" t="s">
        <v>4966</v>
      </c>
      <c r="X390" s="5" t="s">
        <v>4966</v>
      </c>
      <c r="Y390" s="4">
        <v>729</v>
      </c>
      <c r="Z390" s="4">
        <v>597</v>
      </c>
      <c r="AA390" s="4">
        <v>600</v>
      </c>
      <c r="AB390" s="4">
        <v>9</v>
      </c>
      <c r="AC390" s="4">
        <v>9</v>
      </c>
      <c r="AD390" s="4">
        <v>29</v>
      </c>
      <c r="AE390" s="4">
        <v>29</v>
      </c>
      <c r="AF390" s="4">
        <v>11</v>
      </c>
      <c r="AG390" s="4">
        <v>11</v>
      </c>
      <c r="AH390" s="4">
        <v>7</v>
      </c>
      <c r="AI390" s="4">
        <v>7</v>
      </c>
      <c r="AJ390" s="4">
        <v>13</v>
      </c>
      <c r="AK390" s="4">
        <v>13</v>
      </c>
      <c r="AL390" s="4">
        <v>6</v>
      </c>
      <c r="AM390" s="4">
        <v>6</v>
      </c>
      <c r="AN390" s="4">
        <v>0</v>
      </c>
      <c r="AO390" s="4">
        <v>0</v>
      </c>
      <c r="AP390" s="3" t="s">
        <v>58</v>
      </c>
      <c r="AQ390" s="3" t="s">
        <v>68</v>
      </c>
      <c r="AR390" s="6" t="str">
        <f>HYPERLINK("http://catalog.hathitrust.org/Record/000707302","HathiTrust Record")</f>
        <v>HathiTrust Record</v>
      </c>
      <c r="AS390" s="6" t="str">
        <f>HYPERLINK("https://creighton-primo.hosted.exlibrisgroup.com/primo-explore/search?tab=default_tab&amp;search_scope=EVERYTHING&amp;vid=01CRU&amp;lang=en_US&amp;offset=0&amp;query=any,contains,991004014489702656","Catalog Record")</f>
        <v>Catalog Record</v>
      </c>
      <c r="AT390" s="6" t="str">
        <f>HYPERLINK("http://www.worldcat.org/oclc/2103163","WorldCat Record")</f>
        <v>WorldCat Record</v>
      </c>
      <c r="AU390" s="3" t="s">
        <v>5099</v>
      </c>
      <c r="AV390" s="3" t="s">
        <v>5100</v>
      </c>
      <c r="AW390" s="3" t="s">
        <v>5101</v>
      </c>
      <c r="AX390" s="3" t="s">
        <v>5101</v>
      </c>
      <c r="AY390" s="3" t="s">
        <v>5102</v>
      </c>
      <c r="AZ390" s="3" t="s">
        <v>73</v>
      </c>
      <c r="BB390" s="3" t="s">
        <v>5103</v>
      </c>
      <c r="BC390" s="3" t="s">
        <v>5104</v>
      </c>
      <c r="BD390" s="3" t="s">
        <v>5105</v>
      </c>
    </row>
    <row r="391" spans="1:56" ht="45" customHeight="1" x14ac:dyDescent="0.25">
      <c r="A391" s="8" t="s">
        <v>58</v>
      </c>
      <c r="B391" s="2" t="s">
        <v>5106</v>
      </c>
      <c r="C391" s="2" t="s">
        <v>5107</v>
      </c>
      <c r="D391" s="2" t="s">
        <v>5108</v>
      </c>
      <c r="F391" s="3" t="s">
        <v>58</v>
      </c>
      <c r="G391" s="3" t="s">
        <v>59</v>
      </c>
      <c r="H391" s="3" t="s">
        <v>58</v>
      </c>
      <c r="I391" s="3" t="s">
        <v>58</v>
      </c>
      <c r="J391" s="3" t="s">
        <v>60</v>
      </c>
      <c r="K391" s="2" t="s">
        <v>5109</v>
      </c>
      <c r="L391" s="2" t="s">
        <v>5110</v>
      </c>
      <c r="M391" s="3" t="s">
        <v>350</v>
      </c>
      <c r="N391" s="2" t="s">
        <v>791</v>
      </c>
      <c r="O391" s="3" t="s">
        <v>64</v>
      </c>
      <c r="P391" s="3" t="s">
        <v>177</v>
      </c>
      <c r="R391" s="3" t="s">
        <v>66</v>
      </c>
      <c r="S391" s="4">
        <v>3</v>
      </c>
      <c r="T391" s="4">
        <v>3</v>
      </c>
      <c r="U391" s="5" t="s">
        <v>5111</v>
      </c>
      <c r="V391" s="5" t="s">
        <v>5111</v>
      </c>
      <c r="W391" s="5" t="s">
        <v>5003</v>
      </c>
      <c r="X391" s="5" t="s">
        <v>5003</v>
      </c>
      <c r="Y391" s="4">
        <v>619</v>
      </c>
      <c r="Z391" s="4">
        <v>548</v>
      </c>
      <c r="AA391" s="4">
        <v>554</v>
      </c>
      <c r="AB391" s="4">
        <v>7</v>
      </c>
      <c r="AC391" s="4">
        <v>7</v>
      </c>
      <c r="AD391" s="4">
        <v>9</v>
      </c>
      <c r="AE391" s="4">
        <v>9</v>
      </c>
      <c r="AF391" s="4">
        <v>1</v>
      </c>
      <c r="AG391" s="4">
        <v>1</v>
      </c>
      <c r="AH391" s="4">
        <v>1</v>
      </c>
      <c r="AI391" s="4">
        <v>1</v>
      </c>
      <c r="AJ391" s="4">
        <v>5</v>
      </c>
      <c r="AK391" s="4">
        <v>5</v>
      </c>
      <c r="AL391" s="4">
        <v>3</v>
      </c>
      <c r="AM391" s="4">
        <v>3</v>
      </c>
      <c r="AN391" s="4">
        <v>0</v>
      </c>
      <c r="AO391" s="4">
        <v>0</v>
      </c>
      <c r="AP391" s="3" t="s">
        <v>58</v>
      </c>
      <c r="AQ391" s="3" t="s">
        <v>68</v>
      </c>
      <c r="AR391" s="6" t="str">
        <f>HYPERLINK("http://catalog.hathitrust.org/Record/001578997","HathiTrust Record")</f>
        <v>HathiTrust Record</v>
      </c>
      <c r="AS391" s="6" t="str">
        <f>HYPERLINK("https://creighton-primo.hosted.exlibrisgroup.com/primo-explore/search?tab=default_tab&amp;search_scope=EVERYTHING&amp;vid=01CRU&amp;lang=en_US&amp;offset=0&amp;query=any,contains,991003049069702656","Catalog Record")</f>
        <v>Catalog Record</v>
      </c>
      <c r="AT391" s="6" t="str">
        <f>HYPERLINK("http://www.worldcat.org/oclc/609280","WorldCat Record")</f>
        <v>WorldCat Record</v>
      </c>
      <c r="AU391" s="3" t="s">
        <v>5112</v>
      </c>
      <c r="AV391" s="3" t="s">
        <v>5113</v>
      </c>
      <c r="AW391" s="3" t="s">
        <v>5114</v>
      </c>
      <c r="AX391" s="3" t="s">
        <v>5114</v>
      </c>
      <c r="AY391" s="3" t="s">
        <v>5115</v>
      </c>
      <c r="AZ391" s="3" t="s">
        <v>73</v>
      </c>
      <c r="BB391" s="3" t="s">
        <v>5116</v>
      </c>
      <c r="BC391" s="3" t="s">
        <v>5117</v>
      </c>
      <c r="BD391" s="3" t="s">
        <v>5118</v>
      </c>
    </row>
    <row r="392" spans="1:56" ht="45" customHeight="1" x14ac:dyDescent="0.25">
      <c r="A392" s="8" t="s">
        <v>58</v>
      </c>
      <c r="B392" s="2" t="s">
        <v>5119</v>
      </c>
      <c r="C392" s="2" t="s">
        <v>5120</v>
      </c>
      <c r="D392" s="2" t="s">
        <v>5121</v>
      </c>
      <c r="F392" s="3" t="s">
        <v>58</v>
      </c>
      <c r="G392" s="3" t="s">
        <v>59</v>
      </c>
      <c r="H392" s="3" t="s">
        <v>68</v>
      </c>
      <c r="I392" s="3" t="s">
        <v>58</v>
      </c>
      <c r="J392" s="3" t="s">
        <v>60</v>
      </c>
      <c r="K392" s="2" t="s">
        <v>5122</v>
      </c>
      <c r="L392" s="2" t="s">
        <v>3967</v>
      </c>
      <c r="M392" s="3" t="s">
        <v>1013</v>
      </c>
      <c r="O392" s="3" t="s">
        <v>64</v>
      </c>
      <c r="P392" s="3" t="s">
        <v>177</v>
      </c>
      <c r="R392" s="3" t="s">
        <v>66</v>
      </c>
      <c r="S392" s="4">
        <v>29</v>
      </c>
      <c r="T392" s="4">
        <v>29</v>
      </c>
      <c r="U392" s="5" t="s">
        <v>5123</v>
      </c>
      <c r="V392" s="5" t="s">
        <v>5123</v>
      </c>
      <c r="W392" s="5" t="s">
        <v>4951</v>
      </c>
      <c r="X392" s="5" t="s">
        <v>4951</v>
      </c>
      <c r="Y392" s="4">
        <v>466</v>
      </c>
      <c r="Z392" s="4">
        <v>398</v>
      </c>
      <c r="AA392" s="4">
        <v>399</v>
      </c>
      <c r="AB392" s="4">
        <v>3</v>
      </c>
      <c r="AC392" s="4">
        <v>3</v>
      </c>
      <c r="AD392" s="4">
        <v>14</v>
      </c>
      <c r="AE392" s="4">
        <v>14</v>
      </c>
      <c r="AF392" s="4">
        <v>4</v>
      </c>
      <c r="AG392" s="4">
        <v>4</v>
      </c>
      <c r="AH392" s="4">
        <v>4</v>
      </c>
      <c r="AI392" s="4">
        <v>4</v>
      </c>
      <c r="AJ392" s="4">
        <v>9</v>
      </c>
      <c r="AK392" s="4">
        <v>9</v>
      </c>
      <c r="AL392" s="4">
        <v>0</v>
      </c>
      <c r="AM392" s="4">
        <v>0</v>
      </c>
      <c r="AN392" s="4">
        <v>0</v>
      </c>
      <c r="AO392" s="4">
        <v>0</v>
      </c>
      <c r="AP392" s="3" t="s">
        <v>58</v>
      </c>
      <c r="AQ392" s="3" t="s">
        <v>58</v>
      </c>
      <c r="AS392" s="6" t="str">
        <f>HYPERLINK("https://creighton-primo.hosted.exlibrisgroup.com/primo-explore/search?tab=default_tab&amp;search_scope=EVERYTHING&amp;vid=01CRU&amp;lang=en_US&amp;offset=0&amp;query=any,contains,991000779229702656","Catalog Record")</f>
        <v>Catalog Record</v>
      </c>
      <c r="AT392" s="6" t="str">
        <f>HYPERLINK("http://www.worldcat.org/oclc/13093927","WorldCat Record")</f>
        <v>WorldCat Record</v>
      </c>
      <c r="AU392" s="3" t="s">
        <v>5124</v>
      </c>
      <c r="AV392" s="3" t="s">
        <v>5125</v>
      </c>
      <c r="AW392" s="3" t="s">
        <v>5126</v>
      </c>
      <c r="AX392" s="3" t="s">
        <v>5126</v>
      </c>
      <c r="AY392" s="3" t="s">
        <v>5127</v>
      </c>
      <c r="AZ392" s="3" t="s">
        <v>73</v>
      </c>
      <c r="BB392" s="3" t="s">
        <v>5128</v>
      </c>
      <c r="BC392" s="3" t="s">
        <v>5129</v>
      </c>
      <c r="BD392" s="3" t="s">
        <v>5130</v>
      </c>
    </row>
    <row r="393" spans="1:56" ht="45" customHeight="1" x14ac:dyDescent="0.25">
      <c r="A393" s="8" t="s">
        <v>58</v>
      </c>
      <c r="B393" s="2" t="s">
        <v>5131</v>
      </c>
      <c r="C393" s="2" t="s">
        <v>5132</v>
      </c>
      <c r="D393" s="2" t="s">
        <v>5133</v>
      </c>
      <c r="F393" s="3" t="s">
        <v>58</v>
      </c>
      <c r="G393" s="3" t="s">
        <v>59</v>
      </c>
      <c r="H393" s="3" t="s">
        <v>58</v>
      </c>
      <c r="I393" s="3" t="s">
        <v>58</v>
      </c>
      <c r="J393" s="3" t="s">
        <v>60</v>
      </c>
      <c r="K393" s="2" t="s">
        <v>5134</v>
      </c>
      <c r="L393" s="2" t="s">
        <v>5135</v>
      </c>
      <c r="M393" s="3" t="s">
        <v>350</v>
      </c>
      <c r="O393" s="3" t="s">
        <v>64</v>
      </c>
      <c r="P393" s="3" t="s">
        <v>177</v>
      </c>
      <c r="R393" s="3" t="s">
        <v>66</v>
      </c>
      <c r="S393" s="4">
        <v>16</v>
      </c>
      <c r="T393" s="4">
        <v>16</v>
      </c>
      <c r="U393" s="5" t="s">
        <v>5136</v>
      </c>
      <c r="V393" s="5" t="s">
        <v>5136</v>
      </c>
      <c r="W393" s="5" t="s">
        <v>3376</v>
      </c>
      <c r="X393" s="5" t="s">
        <v>3376</v>
      </c>
      <c r="Y393" s="4">
        <v>406</v>
      </c>
      <c r="Z393" s="4">
        <v>358</v>
      </c>
      <c r="AA393" s="4">
        <v>372</v>
      </c>
      <c r="AB393" s="4">
        <v>7</v>
      </c>
      <c r="AC393" s="4">
        <v>7</v>
      </c>
      <c r="AD393" s="4">
        <v>6</v>
      </c>
      <c r="AE393" s="4">
        <v>7</v>
      </c>
      <c r="AF393" s="4">
        <v>2</v>
      </c>
      <c r="AG393" s="4">
        <v>2</v>
      </c>
      <c r="AH393" s="4">
        <v>1</v>
      </c>
      <c r="AI393" s="4">
        <v>2</v>
      </c>
      <c r="AJ393" s="4">
        <v>1</v>
      </c>
      <c r="AK393" s="4">
        <v>1</v>
      </c>
      <c r="AL393" s="4">
        <v>3</v>
      </c>
      <c r="AM393" s="4">
        <v>3</v>
      </c>
      <c r="AN393" s="4">
        <v>0</v>
      </c>
      <c r="AO393" s="4">
        <v>0</v>
      </c>
      <c r="AP393" s="3" t="s">
        <v>58</v>
      </c>
      <c r="AQ393" s="3" t="s">
        <v>68</v>
      </c>
      <c r="AR393" s="6" t="str">
        <f>HYPERLINK("http://catalog.hathitrust.org/Record/000836530","HathiTrust Record")</f>
        <v>HathiTrust Record</v>
      </c>
      <c r="AS393" s="6" t="str">
        <f>HYPERLINK("https://creighton-primo.hosted.exlibrisgroup.com/primo-explore/search?tab=default_tab&amp;search_scope=EVERYTHING&amp;vid=01CRU&amp;lang=en_US&amp;offset=0&amp;query=any,contains,991003090409702656","Catalog Record")</f>
        <v>Catalog Record</v>
      </c>
      <c r="AT393" s="6" t="str">
        <f>HYPERLINK("http://www.worldcat.org/oclc/640499","WorldCat Record")</f>
        <v>WorldCat Record</v>
      </c>
      <c r="AU393" s="3" t="s">
        <v>5137</v>
      </c>
      <c r="AV393" s="3" t="s">
        <v>5138</v>
      </c>
      <c r="AW393" s="3" t="s">
        <v>5139</v>
      </c>
      <c r="AX393" s="3" t="s">
        <v>5139</v>
      </c>
      <c r="AY393" s="3" t="s">
        <v>5140</v>
      </c>
      <c r="AZ393" s="3" t="s">
        <v>73</v>
      </c>
      <c r="BB393" s="3" t="s">
        <v>5141</v>
      </c>
      <c r="BC393" s="3" t="s">
        <v>5142</v>
      </c>
      <c r="BD393" s="3" t="s">
        <v>5143</v>
      </c>
    </row>
    <row r="394" spans="1:56" ht="45" customHeight="1" x14ac:dyDescent="0.25">
      <c r="A394" s="8" t="s">
        <v>58</v>
      </c>
      <c r="B394" s="2" t="s">
        <v>5144</v>
      </c>
      <c r="C394" s="2" t="s">
        <v>5145</v>
      </c>
      <c r="D394" s="2" t="s">
        <v>5146</v>
      </c>
      <c r="F394" s="3" t="s">
        <v>58</v>
      </c>
      <c r="G394" s="3" t="s">
        <v>59</v>
      </c>
      <c r="H394" s="3" t="s">
        <v>58</v>
      </c>
      <c r="I394" s="3" t="s">
        <v>58</v>
      </c>
      <c r="J394" s="3" t="s">
        <v>60</v>
      </c>
      <c r="K394" s="2" t="s">
        <v>5147</v>
      </c>
      <c r="L394" s="2" t="s">
        <v>5148</v>
      </c>
      <c r="M394" s="3" t="s">
        <v>62</v>
      </c>
      <c r="N394" s="2" t="s">
        <v>63</v>
      </c>
      <c r="O394" s="3" t="s">
        <v>64</v>
      </c>
      <c r="P394" s="3" t="s">
        <v>147</v>
      </c>
      <c r="Q394" s="2" t="s">
        <v>5149</v>
      </c>
      <c r="R394" s="3" t="s">
        <v>66</v>
      </c>
      <c r="S394" s="4">
        <v>5</v>
      </c>
      <c r="T394" s="4">
        <v>5</v>
      </c>
      <c r="U394" s="5" t="s">
        <v>5150</v>
      </c>
      <c r="V394" s="5" t="s">
        <v>5150</v>
      </c>
      <c r="W394" s="5" t="s">
        <v>5151</v>
      </c>
      <c r="X394" s="5" t="s">
        <v>5151</v>
      </c>
      <c r="Y394" s="4">
        <v>332</v>
      </c>
      <c r="Z394" s="4">
        <v>279</v>
      </c>
      <c r="AA394" s="4">
        <v>356</v>
      </c>
      <c r="AB394" s="4">
        <v>4</v>
      </c>
      <c r="AC394" s="4">
        <v>5</v>
      </c>
      <c r="AD394" s="4">
        <v>10</v>
      </c>
      <c r="AE394" s="4">
        <v>17</v>
      </c>
      <c r="AF394" s="4">
        <v>3</v>
      </c>
      <c r="AG394" s="4">
        <v>5</v>
      </c>
      <c r="AH394" s="4">
        <v>3</v>
      </c>
      <c r="AI394" s="4">
        <v>3</v>
      </c>
      <c r="AJ394" s="4">
        <v>3</v>
      </c>
      <c r="AK394" s="4">
        <v>7</v>
      </c>
      <c r="AL394" s="4">
        <v>3</v>
      </c>
      <c r="AM394" s="4">
        <v>4</v>
      </c>
      <c r="AN394" s="4">
        <v>0</v>
      </c>
      <c r="AO394" s="4">
        <v>0</v>
      </c>
      <c r="AP394" s="3" t="s">
        <v>58</v>
      </c>
      <c r="AQ394" s="3" t="s">
        <v>58</v>
      </c>
      <c r="AS394" s="6" t="str">
        <f>HYPERLINK("https://creighton-primo.hosted.exlibrisgroup.com/primo-explore/search?tab=default_tab&amp;search_scope=EVERYTHING&amp;vid=01CRU&amp;lang=en_US&amp;offset=0&amp;query=any,contains,991003979899702656","Catalog Record")</f>
        <v>Catalog Record</v>
      </c>
      <c r="AT394" s="6" t="str">
        <f>HYPERLINK("http://www.worldcat.org/oclc/51566391","WorldCat Record")</f>
        <v>WorldCat Record</v>
      </c>
      <c r="AU394" s="3" t="s">
        <v>5152</v>
      </c>
      <c r="AV394" s="3" t="s">
        <v>5153</v>
      </c>
      <c r="AW394" s="3" t="s">
        <v>5154</v>
      </c>
      <c r="AX394" s="3" t="s">
        <v>5154</v>
      </c>
      <c r="AY394" s="3" t="s">
        <v>5155</v>
      </c>
      <c r="AZ394" s="3" t="s">
        <v>73</v>
      </c>
      <c r="BB394" s="3" t="s">
        <v>5156</v>
      </c>
      <c r="BC394" s="3" t="s">
        <v>5157</v>
      </c>
      <c r="BD394" s="3" t="s">
        <v>5158</v>
      </c>
    </row>
    <row r="395" spans="1:56" ht="45" customHeight="1" x14ac:dyDescent="0.25">
      <c r="A395" s="8" t="s">
        <v>58</v>
      </c>
      <c r="B395" s="2" t="s">
        <v>5159</v>
      </c>
      <c r="C395" s="2" t="s">
        <v>5160</v>
      </c>
      <c r="D395" s="2" t="s">
        <v>5161</v>
      </c>
      <c r="F395" s="3" t="s">
        <v>58</v>
      </c>
      <c r="G395" s="3" t="s">
        <v>59</v>
      </c>
      <c r="H395" s="3" t="s">
        <v>58</v>
      </c>
      <c r="I395" s="3" t="s">
        <v>58</v>
      </c>
      <c r="J395" s="3" t="s">
        <v>60</v>
      </c>
      <c r="K395" s="2" t="s">
        <v>5162</v>
      </c>
      <c r="L395" s="2" t="s">
        <v>5163</v>
      </c>
      <c r="M395" s="3" t="s">
        <v>5164</v>
      </c>
      <c r="O395" s="3" t="s">
        <v>64</v>
      </c>
      <c r="P395" s="3" t="s">
        <v>99</v>
      </c>
      <c r="Q395" s="2" t="s">
        <v>5165</v>
      </c>
      <c r="R395" s="3" t="s">
        <v>66</v>
      </c>
      <c r="S395" s="4">
        <v>1</v>
      </c>
      <c r="T395" s="4">
        <v>1</v>
      </c>
      <c r="U395" s="5" t="s">
        <v>5166</v>
      </c>
      <c r="V395" s="5" t="s">
        <v>5166</v>
      </c>
      <c r="W395" s="5" t="s">
        <v>5166</v>
      </c>
      <c r="X395" s="5" t="s">
        <v>5166</v>
      </c>
      <c r="Y395" s="4">
        <v>691</v>
      </c>
      <c r="Z395" s="4">
        <v>629</v>
      </c>
      <c r="AA395" s="4">
        <v>663</v>
      </c>
      <c r="AB395" s="4">
        <v>2</v>
      </c>
      <c r="AC395" s="4">
        <v>3</v>
      </c>
      <c r="AD395" s="4">
        <v>22</v>
      </c>
      <c r="AE395" s="4">
        <v>24</v>
      </c>
      <c r="AF395" s="4">
        <v>9</v>
      </c>
      <c r="AG395" s="4">
        <v>10</v>
      </c>
      <c r="AH395" s="4">
        <v>4</v>
      </c>
      <c r="AI395" s="4">
        <v>4</v>
      </c>
      <c r="AJ395" s="4">
        <v>7</v>
      </c>
      <c r="AK395" s="4">
        <v>7</v>
      </c>
      <c r="AL395" s="4">
        <v>1</v>
      </c>
      <c r="AM395" s="4">
        <v>2</v>
      </c>
      <c r="AN395" s="4">
        <v>5</v>
      </c>
      <c r="AO395" s="4">
        <v>5</v>
      </c>
      <c r="AP395" s="3" t="s">
        <v>58</v>
      </c>
      <c r="AQ395" s="3" t="s">
        <v>58</v>
      </c>
      <c r="AS395" s="6" t="str">
        <f>HYPERLINK("https://creighton-primo.hosted.exlibrisgroup.com/primo-explore/search?tab=default_tab&amp;search_scope=EVERYTHING&amp;vid=01CRU&amp;lang=en_US&amp;offset=0&amp;query=any,contains,991004462769702656","Catalog Record")</f>
        <v>Catalog Record</v>
      </c>
      <c r="AT395" s="6" t="str">
        <f>HYPERLINK("http://www.worldcat.org/oclc/53138925","WorldCat Record")</f>
        <v>WorldCat Record</v>
      </c>
      <c r="AU395" s="3" t="s">
        <v>5167</v>
      </c>
      <c r="AV395" s="3" t="s">
        <v>5168</v>
      </c>
      <c r="AW395" s="3" t="s">
        <v>5169</v>
      </c>
      <c r="AX395" s="3" t="s">
        <v>5169</v>
      </c>
      <c r="AY395" s="3" t="s">
        <v>5170</v>
      </c>
      <c r="AZ395" s="3" t="s">
        <v>73</v>
      </c>
      <c r="BB395" s="3" t="s">
        <v>5171</v>
      </c>
      <c r="BC395" s="3" t="s">
        <v>5172</v>
      </c>
      <c r="BD395" s="3" t="s">
        <v>5173</v>
      </c>
    </row>
    <row r="396" spans="1:56" ht="45" customHeight="1" x14ac:dyDescent="0.25">
      <c r="A396" s="8" t="s">
        <v>58</v>
      </c>
      <c r="B396" s="2" t="s">
        <v>5174</v>
      </c>
      <c r="C396" s="2" t="s">
        <v>5175</v>
      </c>
      <c r="D396" s="2" t="s">
        <v>5176</v>
      </c>
      <c r="F396" s="3" t="s">
        <v>58</v>
      </c>
      <c r="G396" s="3" t="s">
        <v>59</v>
      </c>
      <c r="H396" s="3" t="s">
        <v>58</v>
      </c>
      <c r="I396" s="3" t="s">
        <v>58</v>
      </c>
      <c r="J396" s="3" t="s">
        <v>60</v>
      </c>
      <c r="L396" s="2" t="s">
        <v>1506</v>
      </c>
      <c r="M396" s="3" t="s">
        <v>82</v>
      </c>
      <c r="O396" s="3" t="s">
        <v>64</v>
      </c>
      <c r="P396" s="3" t="s">
        <v>99</v>
      </c>
      <c r="R396" s="3" t="s">
        <v>66</v>
      </c>
      <c r="S396" s="4">
        <v>3</v>
      </c>
      <c r="T396" s="4">
        <v>3</v>
      </c>
      <c r="U396" s="5" t="s">
        <v>5177</v>
      </c>
      <c r="V396" s="5" t="s">
        <v>5177</v>
      </c>
      <c r="W396" s="5" t="s">
        <v>2995</v>
      </c>
      <c r="X396" s="5" t="s">
        <v>2995</v>
      </c>
      <c r="Y396" s="4">
        <v>277</v>
      </c>
      <c r="Z396" s="4">
        <v>232</v>
      </c>
      <c r="AA396" s="4">
        <v>241</v>
      </c>
      <c r="AB396" s="4">
        <v>4</v>
      </c>
      <c r="AC396" s="4">
        <v>4</v>
      </c>
      <c r="AD396" s="4">
        <v>9</v>
      </c>
      <c r="AE396" s="4">
        <v>9</v>
      </c>
      <c r="AF396" s="4">
        <v>3</v>
      </c>
      <c r="AG396" s="4">
        <v>3</v>
      </c>
      <c r="AH396" s="4">
        <v>1</v>
      </c>
      <c r="AI396" s="4">
        <v>1</v>
      </c>
      <c r="AJ396" s="4">
        <v>4</v>
      </c>
      <c r="AK396" s="4">
        <v>4</v>
      </c>
      <c r="AL396" s="4">
        <v>2</v>
      </c>
      <c r="AM396" s="4">
        <v>2</v>
      </c>
      <c r="AN396" s="4">
        <v>2</v>
      </c>
      <c r="AO396" s="4">
        <v>2</v>
      </c>
      <c r="AP396" s="3" t="s">
        <v>58</v>
      </c>
      <c r="AQ396" s="3" t="s">
        <v>68</v>
      </c>
      <c r="AR396" s="6" t="str">
        <f>HYPERLINK("http://catalog.hathitrust.org/Record/000705806","HathiTrust Record")</f>
        <v>HathiTrust Record</v>
      </c>
      <c r="AS396" s="6" t="str">
        <f>HYPERLINK("https://creighton-primo.hosted.exlibrisgroup.com/primo-explore/search?tab=default_tab&amp;search_scope=EVERYTHING&amp;vid=01CRU&amp;lang=en_US&amp;offset=0&amp;query=any,contains,991004505069702656","Catalog Record")</f>
        <v>Catalog Record</v>
      </c>
      <c r="AT396" s="6" t="str">
        <f>HYPERLINK("http://www.worldcat.org/oclc/3730873","WorldCat Record")</f>
        <v>WorldCat Record</v>
      </c>
      <c r="AU396" s="3" t="s">
        <v>5178</v>
      </c>
      <c r="AV396" s="3" t="s">
        <v>5179</v>
      </c>
      <c r="AW396" s="3" t="s">
        <v>5180</v>
      </c>
      <c r="AX396" s="3" t="s">
        <v>5180</v>
      </c>
      <c r="AY396" s="3" t="s">
        <v>5181</v>
      </c>
      <c r="AZ396" s="3" t="s">
        <v>73</v>
      </c>
      <c r="BB396" s="3" t="s">
        <v>5182</v>
      </c>
      <c r="BC396" s="3" t="s">
        <v>5183</v>
      </c>
      <c r="BD396" s="3" t="s">
        <v>5184</v>
      </c>
    </row>
    <row r="397" spans="1:56" ht="45" customHeight="1" x14ac:dyDescent="0.25">
      <c r="A397" s="8" t="s">
        <v>58</v>
      </c>
      <c r="B397" s="2" t="s">
        <v>5185</v>
      </c>
      <c r="C397" s="2" t="s">
        <v>5186</v>
      </c>
      <c r="D397" s="2" t="s">
        <v>5187</v>
      </c>
      <c r="F397" s="3" t="s">
        <v>58</v>
      </c>
      <c r="G397" s="3" t="s">
        <v>59</v>
      </c>
      <c r="H397" s="3" t="s">
        <v>58</v>
      </c>
      <c r="I397" s="3" t="s">
        <v>58</v>
      </c>
      <c r="J397" s="3" t="s">
        <v>60</v>
      </c>
      <c r="K397" s="2" t="s">
        <v>5188</v>
      </c>
      <c r="L397" s="2" t="s">
        <v>5189</v>
      </c>
      <c r="M397" s="3" t="s">
        <v>1730</v>
      </c>
      <c r="O397" s="3" t="s">
        <v>64</v>
      </c>
      <c r="P397" s="3" t="s">
        <v>5190</v>
      </c>
      <c r="R397" s="3" t="s">
        <v>66</v>
      </c>
      <c r="S397" s="4">
        <v>17</v>
      </c>
      <c r="T397" s="4">
        <v>17</v>
      </c>
      <c r="U397" s="5" t="s">
        <v>5191</v>
      </c>
      <c r="V397" s="5" t="s">
        <v>5191</v>
      </c>
      <c r="W397" s="5" t="s">
        <v>5192</v>
      </c>
      <c r="X397" s="5" t="s">
        <v>5192</v>
      </c>
      <c r="Y397" s="4">
        <v>46</v>
      </c>
      <c r="Z397" s="4">
        <v>38</v>
      </c>
      <c r="AA397" s="4">
        <v>38</v>
      </c>
      <c r="AB397" s="4">
        <v>1</v>
      </c>
      <c r="AC397" s="4">
        <v>1</v>
      </c>
      <c r="AD397" s="4">
        <v>0</v>
      </c>
      <c r="AE397" s="4">
        <v>0</v>
      </c>
      <c r="AF397" s="4">
        <v>0</v>
      </c>
      <c r="AG397" s="4">
        <v>0</v>
      </c>
      <c r="AH397" s="4">
        <v>0</v>
      </c>
      <c r="AI397" s="4">
        <v>0</v>
      </c>
      <c r="AJ397" s="4">
        <v>0</v>
      </c>
      <c r="AK397" s="4">
        <v>0</v>
      </c>
      <c r="AL397" s="4">
        <v>0</v>
      </c>
      <c r="AM397" s="4">
        <v>0</v>
      </c>
      <c r="AN397" s="4">
        <v>0</v>
      </c>
      <c r="AO397" s="4">
        <v>0</v>
      </c>
      <c r="AP397" s="3" t="s">
        <v>58</v>
      </c>
      <c r="AQ397" s="3" t="s">
        <v>58</v>
      </c>
      <c r="AS397" s="6" t="str">
        <f>HYPERLINK("https://creighton-primo.hosted.exlibrisgroup.com/primo-explore/search?tab=default_tab&amp;search_scope=EVERYTHING&amp;vid=01CRU&amp;lang=en_US&amp;offset=0&amp;query=any,contains,991002439769702656","Catalog Record")</f>
        <v>Catalog Record</v>
      </c>
      <c r="AT397" s="6" t="str">
        <f>HYPERLINK("http://www.worldcat.org/oclc/31795834","WorldCat Record")</f>
        <v>WorldCat Record</v>
      </c>
      <c r="AU397" s="3" t="s">
        <v>5193</v>
      </c>
      <c r="AV397" s="3" t="s">
        <v>5194</v>
      </c>
      <c r="AW397" s="3" t="s">
        <v>5195</v>
      </c>
      <c r="AX397" s="3" t="s">
        <v>5195</v>
      </c>
      <c r="AY397" s="3" t="s">
        <v>5196</v>
      </c>
      <c r="AZ397" s="3" t="s">
        <v>73</v>
      </c>
      <c r="BB397" s="3" t="s">
        <v>5197</v>
      </c>
      <c r="BC397" s="3" t="s">
        <v>5198</v>
      </c>
      <c r="BD397" s="3" t="s">
        <v>5199</v>
      </c>
    </row>
    <row r="398" spans="1:56" ht="45" customHeight="1" x14ac:dyDescent="0.25">
      <c r="A398" s="8" t="s">
        <v>58</v>
      </c>
      <c r="B398" s="2" t="s">
        <v>5200</v>
      </c>
      <c r="C398" s="2" t="s">
        <v>5201</v>
      </c>
      <c r="D398" s="2" t="s">
        <v>5202</v>
      </c>
      <c r="F398" s="3" t="s">
        <v>58</v>
      </c>
      <c r="G398" s="3" t="s">
        <v>59</v>
      </c>
      <c r="H398" s="3" t="s">
        <v>58</v>
      </c>
      <c r="I398" s="3" t="s">
        <v>58</v>
      </c>
      <c r="J398" s="3" t="s">
        <v>60</v>
      </c>
      <c r="L398" s="2" t="s">
        <v>5203</v>
      </c>
      <c r="M398" s="3" t="s">
        <v>291</v>
      </c>
      <c r="O398" s="3" t="s">
        <v>64</v>
      </c>
      <c r="P398" s="3" t="s">
        <v>177</v>
      </c>
      <c r="R398" s="3" t="s">
        <v>66</v>
      </c>
      <c r="S398" s="4">
        <v>1</v>
      </c>
      <c r="T398" s="4">
        <v>1</v>
      </c>
      <c r="U398" s="5" t="s">
        <v>5204</v>
      </c>
      <c r="V398" s="5" t="s">
        <v>5204</v>
      </c>
      <c r="W398" s="5" t="s">
        <v>5205</v>
      </c>
      <c r="X398" s="5" t="s">
        <v>5205</v>
      </c>
      <c r="Y398" s="4">
        <v>230</v>
      </c>
      <c r="Z398" s="4">
        <v>199</v>
      </c>
      <c r="AA398" s="4">
        <v>209</v>
      </c>
      <c r="AB398" s="4">
        <v>2</v>
      </c>
      <c r="AC398" s="4">
        <v>2</v>
      </c>
      <c r="AD398" s="4">
        <v>7</v>
      </c>
      <c r="AE398" s="4">
        <v>7</v>
      </c>
      <c r="AF398" s="4">
        <v>2</v>
      </c>
      <c r="AG398" s="4">
        <v>2</v>
      </c>
      <c r="AH398" s="4">
        <v>1</v>
      </c>
      <c r="AI398" s="4">
        <v>1</v>
      </c>
      <c r="AJ398" s="4">
        <v>6</v>
      </c>
      <c r="AK398" s="4">
        <v>6</v>
      </c>
      <c r="AL398" s="4">
        <v>1</v>
      </c>
      <c r="AM398" s="4">
        <v>1</v>
      </c>
      <c r="AN398" s="4">
        <v>0</v>
      </c>
      <c r="AO398" s="4">
        <v>0</v>
      </c>
      <c r="AP398" s="3" t="s">
        <v>58</v>
      </c>
      <c r="AQ398" s="3" t="s">
        <v>68</v>
      </c>
      <c r="AR398" s="6" t="str">
        <f>HYPERLINK("http://catalog.hathitrust.org/Record/000181879","HathiTrust Record")</f>
        <v>HathiTrust Record</v>
      </c>
      <c r="AS398" s="6" t="str">
        <f>HYPERLINK("https://creighton-primo.hosted.exlibrisgroup.com/primo-explore/search?tab=default_tab&amp;search_scope=EVERYTHING&amp;vid=01CRU&amp;lang=en_US&amp;offset=0&amp;query=any,contains,991005033819702656","Catalog Record")</f>
        <v>Catalog Record</v>
      </c>
      <c r="AT398" s="6" t="str">
        <f>HYPERLINK("http://www.worldcat.org/oclc/6735771","WorldCat Record")</f>
        <v>WorldCat Record</v>
      </c>
      <c r="AU398" s="3" t="s">
        <v>5206</v>
      </c>
      <c r="AV398" s="3" t="s">
        <v>5207</v>
      </c>
      <c r="AW398" s="3" t="s">
        <v>5208</v>
      </c>
      <c r="AX398" s="3" t="s">
        <v>5208</v>
      </c>
      <c r="AY398" s="3" t="s">
        <v>5209</v>
      </c>
      <c r="AZ398" s="3" t="s">
        <v>73</v>
      </c>
      <c r="BB398" s="3" t="s">
        <v>5210</v>
      </c>
      <c r="BC398" s="3" t="s">
        <v>5211</v>
      </c>
      <c r="BD398" s="3" t="s">
        <v>5212</v>
      </c>
    </row>
    <row r="399" spans="1:56" ht="45" customHeight="1" x14ac:dyDescent="0.25">
      <c r="A399" s="8" t="s">
        <v>58</v>
      </c>
      <c r="B399" s="2" t="s">
        <v>5213</v>
      </c>
      <c r="C399" s="2" t="s">
        <v>5214</v>
      </c>
      <c r="D399" s="2" t="s">
        <v>5215</v>
      </c>
      <c r="F399" s="3" t="s">
        <v>58</v>
      </c>
      <c r="G399" s="3" t="s">
        <v>59</v>
      </c>
      <c r="H399" s="3" t="s">
        <v>58</v>
      </c>
      <c r="I399" s="3" t="s">
        <v>58</v>
      </c>
      <c r="J399" s="3" t="s">
        <v>60</v>
      </c>
      <c r="K399" s="2" t="s">
        <v>2837</v>
      </c>
      <c r="L399" s="2" t="s">
        <v>5216</v>
      </c>
      <c r="M399" s="3" t="s">
        <v>378</v>
      </c>
      <c r="O399" s="3" t="s">
        <v>64</v>
      </c>
      <c r="P399" s="3" t="s">
        <v>114</v>
      </c>
      <c r="R399" s="3" t="s">
        <v>66</v>
      </c>
      <c r="S399" s="4">
        <v>7</v>
      </c>
      <c r="T399" s="4">
        <v>7</v>
      </c>
      <c r="U399" s="5" t="s">
        <v>5217</v>
      </c>
      <c r="V399" s="5" t="s">
        <v>5217</v>
      </c>
      <c r="W399" s="5" t="s">
        <v>5218</v>
      </c>
      <c r="X399" s="5" t="s">
        <v>5218</v>
      </c>
      <c r="Y399" s="4">
        <v>497</v>
      </c>
      <c r="Z399" s="4">
        <v>339</v>
      </c>
      <c r="AA399" s="4">
        <v>421</v>
      </c>
      <c r="AB399" s="4">
        <v>2</v>
      </c>
      <c r="AC399" s="4">
        <v>2</v>
      </c>
      <c r="AD399" s="4">
        <v>11</v>
      </c>
      <c r="AE399" s="4">
        <v>17</v>
      </c>
      <c r="AF399" s="4">
        <v>4</v>
      </c>
      <c r="AG399" s="4">
        <v>7</v>
      </c>
      <c r="AH399" s="4">
        <v>2</v>
      </c>
      <c r="AI399" s="4">
        <v>4</v>
      </c>
      <c r="AJ399" s="4">
        <v>8</v>
      </c>
      <c r="AK399" s="4">
        <v>10</v>
      </c>
      <c r="AL399" s="4">
        <v>1</v>
      </c>
      <c r="AM399" s="4">
        <v>1</v>
      </c>
      <c r="AN399" s="4">
        <v>0</v>
      </c>
      <c r="AO399" s="4">
        <v>0</v>
      </c>
      <c r="AP399" s="3" t="s">
        <v>58</v>
      </c>
      <c r="AQ399" s="3" t="s">
        <v>68</v>
      </c>
      <c r="AR399" s="6" t="str">
        <f>HYPERLINK("http://catalog.hathitrust.org/Record/000361807","HathiTrust Record")</f>
        <v>HathiTrust Record</v>
      </c>
      <c r="AS399" s="6" t="str">
        <f>HYPERLINK("https://creighton-primo.hosted.exlibrisgroup.com/primo-explore/search?tab=default_tab&amp;search_scope=EVERYTHING&amp;vid=01CRU&amp;lang=en_US&amp;offset=0&amp;query=any,contains,991000470809702656","Catalog Record")</f>
        <v>Catalog Record</v>
      </c>
      <c r="AT399" s="6" t="str">
        <f>HYPERLINK("http://www.worldcat.org/oclc/10996865","WorldCat Record")</f>
        <v>WorldCat Record</v>
      </c>
      <c r="AU399" s="3" t="s">
        <v>5219</v>
      </c>
      <c r="AV399" s="3" t="s">
        <v>5220</v>
      </c>
      <c r="AW399" s="3" t="s">
        <v>5221</v>
      </c>
      <c r="AX399" s="3" t="s">
        <v>5221</v>
      </c>
      <c r="AY399" s="3" t="s">
        <v>5222</v>
      </c>
      <c r="AZ399" s="3" t="s">
        <v>73</v>
      </c>
      <c r="BB399" s="3" t="s">
        <v>5223</v>
      </c>
      <c r="BC399" s="3" t="s">
        <v>5224</v>
      </c>
      <c r="BD399" s="3" t="s">
        <v>5225</v>
      </c>
    </row>
    <row r="400" spans="1:56" ht="45" customHeight="1" x14ac:dyDescent="0.25">
      <c r="A400" s="8" t="s">
        <v>58</v>
      </c>
      <c r="B400" s="2" t="s">
        <v>5226</v>
      </c>
      <c r="C400" s="2" t="s">
        <v>5227</v>
      </c>
      <c r="D400" s="2" t="s">
        <v>5228</v>
      </c>
      <c r="F400" s="3" t="s">
        <v>58</v>
      </c>
      <c r="G400" s="3" t="s">
        <v>59</v>
      </c>
      <c r="H400" s="3" t="s">
        <v>58</v>
      </c>
      <c r="I400" s="3" t="s">
        <v>58</v>
      </c>
      <c r="J400" s="3" t="s">
        <v>60</v>
      </c>
      <c r="K400" s="2" t="s">
        <v>5229</v>
      </c>
      <c r="L400" s="2" t="s">
        <v>421</v>
      </c>
      <c r="M400" s="3" t="s">
        <v>249</v>
      </c>
      <c r="O400" s="3" t="s">
        <v>64</v>
      </c>
      <c r="P400" s="3" t="s">
        <v>422</v>
      </c>
      <c r="Q400" s="2" t="s">
        <v>5230</v>
      </c>
      <c r="R400" s="3" t="s">
        <v>66</v>
      </c>
      <c r="S400" s="4">
        <v>4</v>
      </c>
      <c r="T400" s="4">
        <v>4</v>
      </c>
      <c r="U400" s="5" t="s">
        <v>1964</v>
      </c>
      <c r="V400" s="5" t="s">
        <v>1964</v>
      </c>
      <c r="W400" s="5" t="s">
        <v>5231</v>
      </c>
      <c r="X400" s="5" t="s">
        <v>5231</v>
      </c>
      <c r="Y400" s="4">
        <v>816</v>
      </c>
      <c r="Z400" s="4">
        <v>746</v>
      </c>
      <c r="AA400" s="4">
        <v>772</v>
      </c>
      <c r="AB400" s="4">
        <v>5</v>
      </c>
      <c r="AC400" s="4">
        <v>5</v>
      </c>
      <c r="AD400" s="4">
        <v>22</v>
      </c>
      <c r="AE400" s="4">
        <v>23</v>
      </c>
      <c r="AF400" s="4">
        <v>5</v>
      </c>
      <c r="AG400" s="4">
        <v>6</v>
      </c>
      <c r="AH400" s="4">
        <v>5</v>
      </c>
      <c r="AI400" s="4">
        <v>5</v>
      </c>
      <c r="AJ400" s="4">
        <v>14</v>
      </c>
      <c r="AK400" s="4">
        <v>15</v>
      </c>
      <c r="AL400" s="4">
        <v>3</v>
      </c>
      <c r="AM400" s="4">
        <v>3</v>
      </c>
      <c r="AN400" s="4">
        <v>0</v>
      </c>
      <c r="AO400" s="4">
        <v>0</v>
      </c>
      <c r="AP400" s="3" t="s">
        <v>58</v>
      </c>
      <c r="AQ400" s="3" t="s">
        <v>68</v>
      </c>
      <c r="AR400" s="6" t="str">
        <f>HYPERLINK("http://catalog.hathitrust.org/Record/000135551","HathiTrust Record")</f>
        <v>HathiTrust Record</v>
      </c>
      <c r="AS400" s="6" t="str">
        <f>HYPERLINK("https://creighton-primo.hosted.exlibrisgroup.com/primo-explore/search?tab=default_tab&amp;search_scope=EVERYTHING&amp;vid=01CRU&amp;lang=en_US&amp;offset=0&amp;query=any,contains,991004529649702656","Catalog Record")</f>
        <v>Catalog Record</v>
      </c>
      <c r="AT400" s="6" t="str">
        <f>HYPERLINK("http://www.worldcat.org/oclc/3844716","WorldCat Record")</f>
        <v>WorldCat Record</v>
      </c>
      <c r="AU400" s="3" t="s">
        <v>5232</v>
      </c>
      <c r="AV400" s="3" t="s">
        <v>5233</v>
      </c>
      <c r="AW400" s="3" t="s">
        <v>5234</v>
      </c>
      <c r="AX400" s="3" t="s">
        <v>5234</v>
      </c>
      <c r="AY400" s="3" t="s">
        <v>5235</v>
      </c>
      <c r="AZ400" s="3" t="s">
        <v>73</v>
      </c>
      <c r="BB400" s="3" t="s">
        <v>5236</v>
      </c>
      <c r="BC400" s="3" t="s">
        <v>5237</v>
      </c>
      <c r="BD400" s="3" t="s">
        <v>5238</v>
      </c>
    </row>
    <row r="401" spans="1:56" ht="45" customHeight="1" x14ac:dyDescent="0.25">
      <c r="A401" s="8" t="s">
        <v>58</v>
      </c>
      <c r="B401" s="2" t="s">
        <v>5239</v>
      </c>
      <c r="C401" s="2" t="s">
        <v>5240</v>
      </c>
      <c r="D401" s="2" t="s">
        <v>5241</v>
      </c>
      <c r="F401" s="3" t="s">
        <v>58</v>
      </c>
      <c r="G401" s="3" t="s">
        <v>59</v>
      </c>
      <c r="H401" s="3" t="s">
        <v>58</v>
      </c>
      <c r="I401" s="3" t="s">
        <v>58</v>
      </c>
      <c r="J401" s="3" t="s">
        <v>60</v>
      </c>
      <c r="K401" s="2" t="s">
        <v>5242</v>
      </c>
      <c r="L401" s="2" t="s">
        <v>5243</v>
      </c>
      <c r="M401" s="3" t="s">
        <v>450</v>
      </c>
      <c r="O401" s="3" t="s">
        <v>64</v>
      </c>
      <c r="P401" s="3" t="s">
        <v>422</v>
      </c>
      <c r="R401" s="3" t="s">
        <v>66</v>
      </c>
      <c r="S401" s="4">
        <v>26</v>
      </c>
      <c r="T401" s="4">
        <v>26</v>
      </c>
      <c r="U401" s="5" t="s">
        <v>5244</v>
      </c>
      <c r="V401" s="5" t="s">
        <v>5244</v>
      </c>
      <c r="W401" s="5" t="s">
        <v>4951</v>
      </c>
      <c r="X401" s="5" t="s">
        <v>4951</v>
      </c>
      <c r="Y401" s="4">
        <v>292</v>
      </c>
      <c r="Z401" s="4">
        <v>250</v>
      </c>
      <c r="AA401" s="4">
        <v>302</v>
      </c>
      <c r="AB401" s="4">
        <v>2</v>
      </c>
      <c r="AC401" s="4">
        <v>3</v>
      </c>
      <c r="AD401" s="4">
        <v>11</v>
      </c>
      <c r="AE401" s="4">
        <v>16</v>
      </c>
      <c r="AF401" s="4">
        <v>4</v>
      </c>
      <c r="AG401" s="4">
        <v>6</v>
      </c>
      <c r="AH401" s="4">
        <v>2</v>
      </c>
      <c r="AI401" s="4">
        <v>2</v>
      </c>
      <c r="AJ401" s="4">
        <v>7</v>
      </c>
      <c r="AK401" s="4">
        <v>10</v>
      </c>
      <c r="AL401" s="4">
        <v>1</v>
      </c>
      <c r="AM401" s="4">
        <v>2</v>
      </c>
      <c r="AN401" s="4">
        <v>0</v>
      </c>
      <c r="AO401" s="4">
        <v>0</v>
      </c>
      <c r="AP401" s="3" t="s">
        <v>58</v>
      </c>
      <c r="AQ401" s="3" t="s">
        <v>68</v>
      </c>
      <c r="AR401" s="6" t="str">
        <f>HYPERLINK("http://catalog.hathitrust.org/Record/000845292","HathiTrust Record")</f>
        <v>HathiTrust Record</v>
      </c>
      <c r="AS401" s="6" t="str">
        <f>HYPERLINK("https://creighton-primo.hosted.exlibrisgroup.com/primo-explore/search?tab=default_tab&amp;search_scope=EVERYTHING&amp;vid=01CRU&amp;lang=en_US&amp;offset=0&amp;query=any,contains,991001135369702656","Catalog Record")</f>
        <v>Catalog Record</v>
      </c>
      <c r="AT401" s="6" t="str">
        <f>HYPERLINK("http://www.worldcat.org/oclc/16709515","WorldCat Record")</f>
        <v>WorldCat Record</v>
      </c>
      <c r="AU401" s="3" t="s">
        <v>5245</v>
      </c>
      <c r="AV401" s="3" t="s">
        <v>5246</v>
      </c>
      <c r="AW401" s="3" t="s">
        <v>5247</v>
      </c>
      <c r="AX401" s="3" t="s">
        <v>5247</v>
      </c>
      <c r="AY401" s="3" t="s">
        <v>5248</v>
      </c>
      <c r="AZ401" s="3" t="s">
        <v>73</v>
      </c>
      <c r="BB401" s="3" t="s">
        <v>5249</v>
      </c>
      <c r="BC401" s="3" t="s">
        <v>5250</v>
      </c>
      <c r="BD401" s="3" t="s">
        <v>5251</v>
      </c>
    </row>
    <row r="402" spans="1:56" ht="45" customHeight="1" x14ac:dyDescent="0.25">
      <c r="A402" s="8" t="s">
        <v>58</v>
      </c>
      <c r="B402" s="2" t="s">
        <v>5252</v>
      </c>
      <c r="C402" s="2" t="s">
        <v>5253</v>
      </c>
      <c r="D402" s="2" t="s">
        <v>5254</v>
      </c>
      <c r="F402" s="3" t="s">
        <v>58</v>
      </c>
      <c r="G402" s="3" t="s">
        <v>59</v>
      </c>
      <c r="H402" s="3" t="s">
        <v>58</v>
      </c>
      <c r="I402" s="3" t="s">
        <v>58</v>
      </c>
      <c r="J402" s="3" t="s">
        <v>60</v>
      </c>
      <c r="K402" s="2" t="s">
        <v>5255</v>
      </c>
      <c r="L402" s="2" t="s">
        <v>5256</v>
      </c>
      <c r="M402" s="3" t="s">
        <v>82</v>
      </c>
      <c r="O402" s="3" t="s">
        <v>64</v>
      </c>
      <c r="P402" s="3" t="s">
        <v>191</v>
      </c>
      <c r="R402" s="3" t="s">
        <v>66</v>
      </c>
      <c r="S402" s="4">
        <v>6</v>
      </c>
      <c r="T402" s="4">
        <v>6</v>
      </c>
      <c r="U402" s="5" t="s">
        <v>930</v>
      </c>
      <c r="V402" s="5" t="s">
        <v>930</v>
      </c>
      <c r="W402" s="5" t="s">
        <v>1627</v>
      </c>
      <c r="X402" s="5" t="s">
        <v>1627</v>
      </c>
      <c r="Y402" s="4">
        <v>364</v>
      </c>
      <c r="Z402" s="4">
        <v>282</v>
      </c>
      <c r="AA402" s="4">
        <v>288</v>
      </c>
      <c r="AB402" s="4">
        <v>4</v>
      </c>
      <c r="AC402" s="4">
        <v>4</v>
      </c>
      <c r="AD402" s="4">
        <v>10</v>
      </c>
      <c r="AE402" s="4">
        <v>12</v>
      </c>
      <c r="AF402" s="4">
        <v>3</v>
      </c>
      <c r="AG402" s="4">
        <v>5</v>
      </c>
      <c r="AH402" s="4">
        <v>2</v>
      </c>
      <c r="AI402" s="4">
        <v>2</v>
      </c>
      <c r="AJ402" s="4">
        <v>4</v>
      </c>
      <c r="AK402" s="4">
        <v>6</v>
      </c>
      <c r="AL402" s="4">
        <v>3</v>
      </c>
      <c r="AM402" s="4">
        <v>3</v>
      </c>
      <c r="AN402" s="4">
        <v>0</v>
      </c>
      <c r="AO402" s="4">
        <v>0</v>
      </c>
      <c r="AP402" s="3" t="s">
        <v>58</v>
      </c>
      <c r="AQ402" s="3" t="s">
        <v>58</v>
      </c>
      <c r="AS402" s="6" t="str">
        <f>HYPERLINK("https://creighton-primo.hosted.exlibrisgroup.com/primo-explore/search?tab=default_tab&amp;search_scope=EVERYTHING&amp;vid=01CRU&amp;lang=en_US&amp;offset=0&amp;query=any,contains,991004807979702656","Catalog Record")</f>
        <v>Catalog Record</v>
      </c>
      <c r="AT402" s="6" t="str">
        <f>HYPERLINK("http://www.worldcat.org/oclc/5264217","WorldCat Record")</f>
        <v>WorldCat Record</v>
      </c>
      <c r="AU402" s="3" t="s">
        <v>5257</v>
      </c>
      <c r="AV402" s="3" t="s">
        <v>5258</v>
      </c>
      <c r="AW402" s="3" t="s">
        <v>5259</v>
      </c>
      <c r="AX402" s="3" t="s">
        <v>5259</v>
      </c>
      <c r="AY402" s="3" t="s">
        <v>5260</v>
      </c>
      <c r="AZ402" s="3" t="s">
        <v>73</v>
      </c>
      <c r="BC402" s="3" t="s">
        <v>5261</v>
      </c>
      <c r="BD402" s="3" t="s">
        <v>5262</v>
      </c>
    </row>
    <row r="403" spans="1:56" ht="45" customHeight="1" x14ac:dyDescent="0.25">
      <c r="A403" s="8" t="s">
        <v>58</v>
      </c>
      <c r="B403" s="2" t="s">
        <v>5263</v>
      </c>
      <c r="C403" s="2" t="s">
        <v>5264</v>
      </c>
      <c r="D403" s="2" t="s">
        <v>5265</v>
      </c>
      <c r="F403" s="3" t="s">
        <v>58</v>
      </c>
      <c r="G403" s="3" t="s">
        <v>59</v>
      </c>
      <c r="H403" s="3" t="s">
        <v>58</v>
      </c>
      <c r="I403" s="3" t="s">
        <v>58</v>
      </c>
      <c r="J403" s="3" t="s">
        <v>60</v>
      </c>
      <c r="L403" s="2" t="s">
        <v>5266</v>
      </c>
      <c r="M403" s="3" t="s">
        <v>82</v>
      </c>
      <c r="O403" s="3" t="s">
        <v>64</v>
      </c>
      <c r="P403" s="3" t="s">
        <v>177</v>
      </c>
      <c r="Q403" s="2" t="s">
        <v>5267</v>
      </c>
      <c r="R403" s="3" t="s">
        <v>66</v>
      </c>
      <c r="S403" s="4">
        <v>4</v>
      </c>
      <c r="T403" s="4">
        <v>4</v>
      </c>
      <c r="U403" s="5" t="s">
        <v>5268</v>
      </c>
      <c r="V403" s="5" t="s">
        <v>5268</v>
      </c>
      <c r="W403" s="5" t="s">
        <v>4951</v>
      </c>
      <c r="X403" s="5" t="s">
        <v>4951</v>
      </c>
      <c r="Y403" s="4">
        <v>323</v>
      </c>
      <c r="Z403" s="4">
        <v>240</v>
      </c>
      <c r="AA403" s="4">
        <v>245</v>
      </c>
      <c r="AB403" s="4">
        <v>6</v>
      </c>
      <c r="AC403" s="4">
        <v>6</v>
      </c>
      <c r="AD403" s="4">
        <v>8</v>
      </c>
      <c r="AE403" s="4">
        <v>8</v>
      </c>
      <c r="AF403" s="4">
        <v>4</v>
      </c>
      <c r="AG403" s="4">
        <v>4</v>
      </c>
      <c r="AH403" s="4">
        <v>0</v>
      </c>
      <c r="AI403" s="4">
        <v>0</v>
      </c>
      <c r="AJ403" s="4">
        <v>2</v>
      </c>
      <c r="AK403" s="4">
        <v>2</v>
      </c>
      <c r="AL403" s="4">
        <v>2</v>
      </c>
      <c r="AM403" s="4">
        <v>2</v>
      </c>
      <c r="AN403" s="4">
        <v>0</v>
      </c>
      <c r="AO403" s="4">
        <v>0</v>
      </c>
      <c r="AP403" s="3" t="s">
        <v>58</v>
      </c>
      <c r="AQ403" s="3" t="s">
        <v>58</v>
      </c>
      <c r="AS403" s="6" t="str">
        <f>HYPERLINK("https://creighton-primo.hosted.exlibrisgroup.com/primo-explore/search?tab=default_tab&amp;search_scope=EVERYTHING&amp;vid=01CRU&amp;lang=en_US&amp;offset=0&amp;query=any,contains,991004900539702656","Catalog Record")</f>
        <v>Catalog Record</v>
      </c>
      <c r="AT403" s="6" t="str">
        <f>HYPERLINK("http://www.worldcat.org/oclc/5932371","WorldCat Record")</f>
        <v>WorldCat Record</v>
      </c>
      <c r="AU403" s="3" t="s">
        <v>5269</v>
      </c>
      <c r="AV403" s="3" t="s">
        <v>5270</v>
      </c>
      <c r="AW403" s="3" t="s">
        <v>5271</v>
      </c>
      <c r="AX403" s="3" t="s">
        <v>5271</v>
      </c>
      <c r="AY403" s="3" t="s">
        <v>5272</v>
      </c>
      <c r="AZ403" s="3" t="s">
        <v>73</v>
      </c>
      <c r="BB403" s="3" t="s">
        <v>5273</v>
      </c>
      <c r="BC403" s="3" t="s">
        <v>5274</v>
      </c>
      <c r="BD403" s="3" t="s">
        <v>5275</v>
      </c>
    </row>
    <row r="404" spans="1:56" ht="45" customHeight="1" x14ac:dyDescent="0.25">
      <c r="A404" s="8" t="s">
        <v>58</v>
      </c>
      <c r="B404" s="2" t="s">
        <v>5276</v>
      </c>
      <c r="C404" s="2" t="s">
        <v>5277</v>
      </c>
      <c r="D404" s="2" t="s">
        <v>5278</v>
      </c>
      <c r="F404" s="3" t="s">
        <v>58</v>
      </c>
      <c r="G404" s="3" t="s">
        <v>59</v>
      </c>
      <c r="H404" s="3" t="s">
        <v>58</v>
      </c>
      <c r="I404" s="3" t="s">
        <v>58</v>
      </c>
      <c r="J404" s="3" t="s">
        <v>60</v>
      </c>
      <c r="K404" s="2" t="s">
        <v>5279</v>
      </c>
      <c r="L404" s="2" t="s">
        <v>5280</v>
      </c>
      <c r="M404" s="3" t="s">
        <v>82</v>
      </c>
      <c r="N404" s="2" t="s">
        <v>635</v>
      </c>
      <c r="O404" s="3" t="s">
        <v>64</v>
      </c>
      <c r="P404" s="3" t="s">
        <v>65</v>
      </c>
      <c r="R404" s="3" t="s">
        <v>66</v>
      </c>
      <c r="S404" s="4">
        <v>1</v>
      </c>
      <c r="T404" s="4">
        <v>1</v>
      </c>
      <c r="U404" s="5" t="s">
        <v>2107</v>
      </c>
      <c r="V404" s="5" t="s">
        <v>2107</v>
      </c>
      <c r="W404" s="5" t="s">
        <v>2995</v>
      </c>
      <c r="X404" s="5" t="s">
        <v>2995</v>
      </c>
      <c r="Y404" s="4">
        <v>160</v>
      </c>
      <c r="Z404" s="4">
        <v>133</v>
      </c>
      <c r="AA404" s="4">
        <v>255</v>
      </c>
      <c r="AB404" s="4">
        <v>2</v>
      </c>
      <c r="AC404" s="4">
        <v>3</v>
      </c>
      <c r="AD404" s="4">
        <v>6</v>
      </c>
      <c r="AE404" s="4">
        <v>6</v>
      </c>
      <c r="AF404" s="4">
        <v>2</v>
      </c>
      <c r="AG404" s="4">
        <v>2</v>
      </c>
      <c r="AH404" s="4">
        <v>1</v>
      </c>
      <c r="AI404" s="4">
        <v>1</v>
      </c>
      <c r="AJ404" s="4">
        <v>3</v>
      </c>
      <c r="AK404" s="4">
        <v>3</v>
      </c>
      <c r="AL404" s="4">
        <v>1</v>
      </c>
      <c r="AM404" s="4">
        <v>1</v>
      </c>
      <c r="AN404" s="4">
        <v>0</v>
      </c>
      <c r="AO404" s="4">
        <v>0</v>
      </c>
      <c r="AP404" s="3" t="s">
        <v>58</v>
      </c>
      <c r="AQ404" s="3" t="s">
        <v>68</v>
      </c>
      <c r="AR404" s="6" t="str">
        <f>HYPERLINK("http://catalog.hathitrust.org/Record/000105133","HathiTrust Record")</f>
        <v>HathiTrust Record</v>
      </c>
      <c r="AS404" s="6" t="str">
        <f>HYPERLINK("https://creighton-primo.hosted.exlibrisgroup.com/primo-explore/search?tab=default_tab&amp;search_scope=EVERYTHING&amp;vid=01CRU&amp;lang=en_US&amp;offset=0&amp;query=any,contains,991004870309702656","Catalog Record")</f>
        <v>Catalog Record</v>
      </c>
      <c r="AT404" s="6" t="str">
        <f>HYPERLINK("http://www.worldcat.org/oclc/5751177","WorldCat Record")</f>
        <v>WorldCat Record</v>
      </c>
      <c r="AU404" s="3" t="s">
        <v>5281</v>
      </c>
      <c r="AV404" s="3" t="s">
        <v>5282</v>
      </c>
      <c r="AW404" s="3" t="s">
        <v>5283</v>
      </c>
      <c r="AX404" s="3" t="s">
        <v>5283</v>
      </c>
      <c r="AY404" s="3" t="s">
        <v>5284</v>
      </c>
      <c r="AZ404" s="3" t="s">
        <v>73</v>
      </c>
      <c r="BB404" s="3" t="s">
        <v>5285</v>
      </c>
      <c r="BC404" s="3" t="s">
        <v>5286</v>
      </c>
      <c r="BD404" s="3" t="s">
        <v>5287</v>
      </c>
    </row>
    <row r="405" spans="1:56" ht="45" customHeight="1" x14ac:dyDescent="0.25">
      <c r="A405" s="8" t="s">
        <v>58</v>
      </c>
      <c r="B405" s="2" t="s">
        <v>5288</v>
      </c>
      <c r="C405" s="2" t="s">
        <v>5289</v>
      </c>
      <c r="D405" s="2" t="s">
        <v>5290</v>
      </c>
      <c r="F405" s="3" t="s">
        <v>58</v>
      </c>
      <c r="G405" s="3" t="s">
        <v>59</v>
      </c>
      <c r="H405" s="3" t="s">
        <v>68</v>
      </c>
      <c r="I405" s="3" t="s">
        <v>58</v>
      </c>
      <c r="J405" s="3" t="s">
        <v>60</v>
      </c>
      <c r="K405" s="2" t="s">
        <v>3215</v>
      </c>
      <c r="L405" s="2" t="s">
        <v>5291</v>
      </c>
      <c r="M405" s="3" t="s">
        <v>494</v>
      </c>
      <c r="O405" s="3" t="s">
        <v>64</v>
      </c>
      <c r="P405" s="3" t="s">
        <v>177</v>
      </c>
      <c r="Q405" s="2" t="s">
        <v>1237</v>
      </c>
      <c r="R405" s="3" t="s">
        <v>66</v>
      </c>
      <c r="S405" s="4">
        <v>5</v>
      </c>
      <c r="T405" s="4">
        <v>5</v>
      </c>
      <c r="U405" s="5" t="s">
        <v>5292</v>
      </c>
      <c r="V405" s="5" t="s">
        <v>5292</v>
      </c>
      <c r="W405" s="5" t="s">
        <v>2995</v>
      </c>
      <c r="X405" s="5" t="s">
        <v>2995</v>
      </c>
      <c r="Y405" s="4">
        <v>365</v>
      </c>
      <c r="Z405" s="4">
        <v>280</v>
      </c>
      <c r="AA405" s="4">
        <v>287</v>
      </c>
      <c r="AB405" s="4">
        <v>3</v>
      </c>
      <c r="AC405" s="4">
        <v>3</v>
      </c>
      <c r="AD405" s="4">
        <v>9</v>
      </c>
      <c r="AE405" s="4">
        <v>9</v>
      </c>
      <c r="AF405" s="4">
        <v>2</v>
      </c>
      <c r="AG405" s="4">
        <v>2</v>
      </c>
      <c r="AH405" s="4">
        <v>2</v>
      </c>
      <c r="AI405" s="4">
        <v>2</v>
      </c>
      <c r="AJ405" s="4">
        <v>6</v>
      </c>
      <c r="AK405" s="4">
        <v>6</v>
      </c>
      <c r="AL405" s="4">
        <v>1</v>
      </c>
      <c r="AM405" s="4">
        <v>1</v>
      </c>
      <c r="AN405" s="4">
        <v>0</v>
      </c>
      <c r="AO405" s="4">
        <v>0</v>
      </c>
      <c r="AP405" s="3" t="s">
        <v>58</v>
      </c>
      <c r="AQ405" s="3" t="s">
        <v>68</v>
      </c>
      <c r="AR405" s="6" t="str">
        <f>HYPERLINK("http://catalog.hathitrust.org/Record/000352413","HathiTrust Record")</f>
        <v>HathiTrust Record</v>
      </c>
      <c r="AS405" s="6" t="str">
        <f>HYPERLINK("https://creighton-primo.hosted.exlibrisgroup.com/primo-explore/search?tab=default_tab&amp;search_scope=EVERYTHING&amp;vid=01CRU&amp;lang=en_US&amp;offset=0&amp;query=any,contains,991000562439702656","Catalog Record")</f>
        <v>Catalog Record</v>
      </c>
      <c r="AT405" s="6" t="str">
        <f>HYPERLINK("http://www.worldcat.org/oclc/11599251","WorldCat Record")</f>
        <v>WorldCat Record</v>
      </c>
      <c r="AU405" s="3" t="s">
        <v>5293</v>
      </c>
      <c r="AV405" s="3" t="s">
        <v>5294</v>
      </c>
      <c r="AW405" s="3" t="s">
        <v>5295</v>
      </c>
      <c r="AX405" s="3" t="s">
        <v>5295</v>
      </c>
      <c r="AY405" s="3" t="s">
        <v>5296</v>
      </c>
      <c r="AZ405" s="3" t="s">
        <v>73</v>
      </c>
      <c r="BB405" s="3" t="s">
        <v>5297</v>
      </c>
      <c r="BC405" s="3" t="s">
        <v>5298</v>
      </c>
      <c r="BD405" s="3" t="s">
        <v>5299</v>
      </c>
    </row>
    <row r="406" spans="1:56" ht="45" customHeight="1" x14ac:dyDescent="0.25">
      <c r="A406" s="8" t="s">
        <v>58</v>
      </c>
      <c r="B406" s="2" t="s">
        <v>5300</v>
      </c>
      <c r="C406" s="2" t="s">
        <v>5301</v>
      </c>
      <c r="D406" s="2" t="s">
        <v>5302</v>
      </c>
      <c r="F406" s="3" t="s">
        <v>58</v>
      </c>
      <c r="G406" s="3" t="s">
        <v>59</v>
      </c>
      <c r="H406" s="3" t="s">
        <v>58</v>
      </c>
      <c r="I406" s="3" t="s">
        <v>58</v>
      </c>
      <c r="J406" s="3" t="s">
        <v>60</v>
      </c>
      <c r="L406" s="2" t="s">
        <v>5303</v>
      </c>
      <c r="M406" s="3" t="s">
        <v>393</v>
      </c>
      <c r="O406" s="3" t="s">
        <v>64</v>
      </c>
      <c r="P406" s="3" t="s">
        <v>191</v>
      </c>
      <c r="R406" s="3" t="s">
        <v>66</v>
      </c>
      <c r="S406" s="4">
        <v>7</v>
      </c>
      <c r="T406" s="4">
        <v>7</v>
      </c>
      <c r="U406" s="5" t="s">
        <v>5304</v>
      </c>
      <c r="V406" s="5" t="s">
        <v>5304</v>
      </c>
      <c r="W406" s="5" t="s">
        <v>2995</v>
      </c>
      <c r="X406" s="5" t="s">
        <v>2995</v>
      </c>
      <c r="Y406" s="4">
        <v>272</v>
      </c>
      <c r="Z406" s="4">
        <v>234</v>
      </c>
      <c r="AA406" s="4">
        <v>266</v>
      </c>
      <c r="AB406" s="4">
        <v>3</v>
      </c>
      <c r="AC406" s="4">
        <v>3</v>
      </c>
      <c r="AD406" s="4">
        <v>11</v>
      </c>
      <c r="AE406" s="4">
        <v>11</v>
      </c>
      <c r="AF406" s="4">
        <v>2</v>
      </c>
      <c r="AG406" s="4">
        <v>2</v>
      </c>
      <c r="AH406" s="4">
        <v>2</v>
      </c>
      <c r="AI406" s="4">
        <v>2</v>
      </c>
      <c r="AJ406" s="4">
        <v>7</v>
      </c>
      <c r="AK406" s="4">
        <v>7</v>
      </c>
      <c r="AL406" s="4">
        <v>2</v>
      </c>
      <c r="AM406" s="4">
        <v>2</v>
      </c>
      <c r="AN406" s="4">
        <v>0</v>
      </c>
      <c r="AO406" s="4">
        <v>0</v>
      </c>
      <c r="AP406" s="3" t="s">
        <v>58</v>
      </c>
      <c r="AQ406" s="3" t="s">
        <v>68</v>
      </c>
      <c r="AR406" s="6" t="str">
        <f>HYPERLINK("http://catalog.hathitrust.org/Record/004415651","HathiTrust Record")</f>
        <v>HathiTrust Record</v>
      </c>
      <c r="AS406" s="6" t="str">
        <f>HYPERLINK("https://creighton-primo.hosted.exlibrisgroup.com/primo-explore/search?tab=default_tab&amp;search_scope=EVERYTHING&amp;vid=01CRU&amp;lang=en_US&amp;offset=0&amp;query=any,contains,991004966709702656","Catalog Record")</f>
        <v>Catalog Record</v>
      </c>
      <c r="AT406" s="6" t="str">
        <f>HYPERLINK("http://www.worldcat.org/oclc/6339144","WorldCat Record")</f>
        <v>WorldCat Record</v>
      </c>
      <c r="AU406" s="3" t="s">
        <v>5305</v>
      </c>
      <c r="AV406" s="3" t="s">
        <v>5306</v>
      </c>
      <c r="AW406" s="3" t="s">
        <v>5307</v>
      </c>
      <c r="AX406" s="3" t="s">
        <v>5307</v>
      </c>
      <c r="AY406" s="3" t="s">
        <v>5308</v>
      </c>
      <c r="AZ406" s="3" t="s">
        <v>73</v>
      </c>
      <c r="BB406" s="3" t="s">
        <v>5309</v>
      </c>
      <c r="BC406" s="3" t="s">
        <v>5310</v>
      </c>
      <c r="BD406" s="3" t="s">
        <v>5311</v>
      </c>
    </row>
    <row r="407" spans="1:56" ht="45" customHeight="1" x14ac:dyDescent="0.25">
      <c r="A407" s="8" t="s">
        <v>58</v>
      </c>
      <c r="B407" s="2" t="s">
        <v>5312</v>
      </c>
      <c r="C407" s="2" t="s">
        <v>5313</v>
      </c>
      <c r="D407" s="2" t="s">
        <v>5314</v>
      </c>
      <c r="F407" s="3" t="s">
        <v>58</v>
      </c>
      <c r="G407" s="3" t="s">
        <v>59</v>
      </c>
      <c r="H407" s="3" t="s">
        <v>68</v>
      </c>
      <c r="I407" s="3" t="s">
        <v>58</v>
      </c>
      <c r="J407" s="3" t="s">
        <v>60</v>
      </c>
      <c r="K407" s="2" t="s">
        <v>5315</v>
      </c>
      <c r="L407" s="2" t="s">
        <v>5098</v>
      </c>
      <c r="M407" s="3" t="s">
        <v>129</v>
      </c>
      <c r="O407" s="3" t="s">
        <v>64</v>
      </c>
      <c r="P407" s="3" t="s">
        <v>191</v>
      </c>
      <c r="R407" s="3" t="s">
        <v>66</v>
      </c>
      <c r="S407" s="4">
        <v>10</v>
      </c>
      <c r="T407" s="4">
        <v>25</v>
      </c>
      <c r="U407" s="5" t="s">
        <v>3522</v>
      </c>
      <c r="V407" s="5" t="s">
        <v>5316</v>
      </c>
      <c r="W407" s="5" t="s">
        <v>3575</v>
      </c>
      <c r="X407" s="5" t="s">
        <v>3575</v>
      </c>
      <c r="Y407" s="4">
        <v>265</v>
      </c>
      <c r="Z407" s="4">
        <v>211</v>
      </c>
      <c r="AA407" s="4">
        <v>213</v>
      </c>
      <c r="AB407" s="4">
        <v>3</v>
      </c>
      <c r="AC407" s="4">
        <v>3</v>
      </c>
      <c r="AD407" s="4">
        <v>7</v>
      </c>
      <c r="AE407" s="4">
        <v>7</v>
      </c>
      <c r="AF407" s="4">
        <v>4</v>
      </c>
      <c r="AG407" s="4">
        <v>4</v>
      </c>
      <c r="AH407" s="4">
        <v>1</v>
      </c>
      <c r="AI407" s="4">
        <v>1</v>
      </c>
      <c r="AJ407" s="4">
        <v>4</v>
      </c>
      <c r="AK407" s="4">
        <v>4</v>
      </c>
      <c r="AL407" s="4">
        <v>1</v>
      </c>
      <c r="AM407" s="4">
        <v>1</v>
      </c>
      <c r="AN407" s="4">
        <v>0</v>
      </c>
      <c r="AO407" s="4">
        <v>0</v>
      </c>
      <c r="AP407" s="3" t="s">
        <v>58</v>
      </c>
      <c r="AQ407" s="3" t="s">
        <v>68</v>
      </c>
      <c r="AR407" s="6" t="str">
        <f>HYPERLINK("http://catalog.hathitrust.org/Record/000723246","HathiTrust Record")</f>
        <v>HathiTrust Record</v>
      </c>
      <c r="AS407" s="6" t="str">
        <f>HYPERLINK("https://creighton-primo.hosted.exlibrisgroup.com/primo-explore/search?tab=default_tab&amp;search_scope=EVERYTHING&amp;vid=01CRU&amp;lang=en_US&amp;offset=0&amp;query=any,contains,991001785239702656","Catalog Record")</f>
        <v>Catalog Record</v>
      </c>
      <c r="AT407" s="6" t="str">
        <f>HYPERLINK("http://www.worldcat.org/oclc/2089720","WorldCat Record")</f>
        <v>WorldCat Record</v>
      </c>
      <c r="AU407" s="3" t="s">
        <v>5317</v>
      </c>
      <c r="AV407" s="3" t="s">
        <v>5318</v>
      </c>
      <c r="AW407" s="3" t="s">
        <v>5319</v>
      </c>
      <c r="AX407" s="3" t="s">
        <v>5319</v>
      </c>
      <c r="AY407" s="3" t="s">
        <v>5320</v>
      </c>
      <c r="AZ407" s="3" t="s">
        <v>73</v>
      </c>
      <c r="BB407" s="3" t="s">
        <v>5321</v>
      </c>
      <c r="BC407" s="3" t="s">
        <v>5322</v>
      </c>
      <c r="BD407" s="3" t="s">
        <v>5323</v>
      </c>
    </row>
    <row r="408" spans="1:56" ht="45" customHeight="1" x14ac:dyDescent="0.25">
      <c r="A408" s="8" t="s">
        <v>58</v>
      </c>
      <c r="B408" s="2" t="s">
        <v>5324</v>
      </c>
      <c r="C408" s="2" t="s">
        <v>5325</v>
      </c>
      <c r="D408" s="2" t="s">
        <v>5326</v>
      </c>
      <c r="F408" s="3" t="s">
        <v>58</v>
      </c>
      <c r="G408" s="3" t="s">
        <v>59</v>
      </c>
      <c r="H408" s="3" t="s">
        <v>58</v>
      </c>
      <c r="I408" s="3" t="s">
        <v>58</v>
      </c>
      <c r="J408" s="3" t="s">
        <v>60</v>
      </c>
      <c r="K408" s="2" t="s">
        <v>5327</v>
      </c>
      <c r="L408" s="2" t="s">
        <v>5328</v>
      </c>
      <c r="M408" s="3" t="s">
        <v>350</v>
      </c>
      <c r="O408" s="3" t="s">
        <v>64</v>
      </c>
      <c r="P408" s="3" t="s">
        <v>99</v>
      </c>
      <c r="R408" s="3" t="s">
        <v>66</v>
      </c>
      <c r="S408" s="4">
        <v>7</v>
      </c>
      <c r="T408" s="4">
        <v>7</v>
      </c>
      <c r="U408" s="5" t="s">
        <v>5329</v>
      </c>
      <c r="V408" s="5" t="s">
        <v>5329</v>
      </c>
      <c r="W408" s="5" t="s">
        <v>2603</v>
      </c>
      <c r="X408" s="5" t="s">
        <v>2603</v>
      </c>
      <c r="Y408" s="4">
        <v>317</v>
      </c>
      <c r="Z408" s="4">
        <v>274</v>
      </c>
      <c r="AA408" s="4">
        <v>281</v>
      </c>
      <c r="AB408" s="4">
        <v>4</v>
      </c>
      <c r="AC408" s="4">
        <v>4</v>
      </c>
      <c r="AD408" s="4">
        <v>8</v>
      </c>
      <c r="AE408" s="4">
        <v>8</v>
      </c>
      <c r="AF408" s="4">
        <v>4</v>
      </c>
      <c r="AG408" s="4">
        <v>4</v>
      </c>
      <c r="AH408" s="4">
        <v>1</v>
      </c>
      <c r="AI408" s="4">
        <v>1</v>
      </c>
      <c r="AJ408" s="4">
        <v>2</v>
      </c>
      <c r="AK408" s="4">
        <v>2</v>
      </c>
      <c r="AL408" s="4">
        <v>3</v>
      </c>
      <c r="AM408" s="4">
        <v>3</v>
      </c>
      <c r="AN408" s="4">
        <v>0</v>
      </c>
      <c r="AO408" s="4">
        <v>0</v>
      </c>
      <c r="AP408" s="3" t="s">
        <v>58</v>
      </c>
      <c r="AQ408" s="3" t="s">
        <v>68</v>
      </c>
      <c r="AR408" s="6" t="str">
        <f>HYPERLINK("http://catalog.hathitrust.org/Record/001571047","HathiTrust Record")</f>
        <v>HathiTrust Record</v>
      </c>
      <c r="AS408" s="6" t="str">
        <f>HYPERLINK("https://creighton-primo.hosted.exlibrisgroup.com/primo-explore/search?tab=default_tab&amp;search_scope=EVERYTHING&amp;vid=01CRU&amp;lang=en_US&amp;offset=0&amp;query=any,contains,991003205479702656","Catalog Record")</f>
        <v>Catalog Record</v>
      </c>
      <c r="AT408" s="6" t="str">
        <f>HYPERLINK("http://www.worldcat.org/oclc/730588","WorldCat Record")</f>
        <v>WorldCat Record</v>
      </c>
      <c r="AU408" s="3" t="s">
        <v>5330</v>
      </c>
      <c r="AV408" s="3" t="s">
        <v>5331</v>
      </c>
      <c r="AW408" s="3" t="s">
        <v>5332</v>
      </c>
      <c r="AX408" s="3" t="s">
        <v>5332</v>
      </c>
      <c r="AY408" s="3" t="s">
        <v>5333</v>
      </c>
      <c r="AZ408" s="3" t="s">
        <v>73</v>
      </c>
      <c r="BB408" s="3" t="s">
        <v>5334</v>
      </c>
      <c r="BC408" s="3" t="s">
        <v>5335</v>
      </c>
      <c r="BD408" s="3" t="s">
        <v>5336</v>
      </c>
    </row>
    <row r="409" spans="1:56" ht="45" customHeight="1" x14ac:dyDescent="0.25">
      <c r="A409" s="8" t="s">
        <v>58</v>
      </c>
      <c r="B409" s="2" t="s">
        <v>5337</v>
      </c>
      <c r="C409" s="2" t="s">
        <v>5338</v>
      </c>
      <c r="D409" s="2" t="s">
        <v>5339</v>
      </c>
      <c r="F409" s="3" t="s">
        <v>58</v>
      </c>
      <c r="G409" s="3" t="s">
        <v>59</v>
      </c>
      <c r="H409" s="3" t="s">
        <v>58</v>
      </c>
      <c r="I409" s="3" t="s">
        <v>58</v>
      </c>
      <c r="J409" s="3" t="s">
        <v>60</v>
      </c>
      <c r="K409" s="2" t="s">
        <v>5340</v>
      </c>
      <c r="L409" s="2" t="s">
        <v>2940</v>
      </c>
      <c r="M409" s="3" t="s">
        <v>1013</v>
      </c>
      <c r="O409" s="3" t="s">
        <v>64</v>
      </c>
      <c r="P409" s="3" t="s">
        <v>65</v>
      </c>
      <c r="Q409" s="2" t="s">
        <v>5341</v>
      </c>
      <c r="R409" s="3" t="s">
        <v>66</v>
      </c>
      <c r="S409" s="4">
        <v>6</v>
      </c>
      <c r="T409" s="4">
        <v>6</v>
      </c>
      <c r="U409" s="5" t="s">
        <v>5342</v>
      </c>
      <c r="V409" s="5" t="s">
        <v>5342</v>
      </c>
      <c r="W409" s="5" t="s">
        <v>2995</v>
      </c>
      <c r="X409" s="5" t="s">
        <v>2995</v>
      </c>
      <c r="Y409" s="4">
        <v>279</v>
      </c>
      <c r="Z409" s="4">
        <v>217</v>
      </c>
      <c r="AA409" s="4">
        <v>225</v>
      </c>
      <c r="AB409" s="4">
        <v>3</v>
      </c>
      <c r="AC409" s="4">
        <v>3</v>
      </c>
      <c r="AD409" s="4">
        <v>11</v>
      </c>
      <c r="AE409" s="4">
        <v>11</v>
      </c>
      <c r="AF409" s="4">
        <v>3</v>
      </c>
      <c r="AG409" s="4">
        <v>3</v>
      </c>
      <c r="AH409" s="4">
        <v>3</v>
      </c>
      <c r="AI409" s="4">
        <v>3</v>
      </c>
      <c r="AJ409" s="4">
        <v>6</v>
      </c>
      <c r="AK409" s="4">
        <v>6</v>
      </c>
      <c r="AL409" s="4">
        <v>2</v>
      </c>
      <c r="AM409" s="4">
        <v>2</v>
      </c>
      <c r="AN409" s="4">
        <v>0</v>
      </c>
      <c r="AO409" s="4">
        <v>0</v>
      </c>
      <c r="AP409" s="3" t="s">
        <v>58</v>
      </c>
      <c r="AQ409" s="3" t="s">
        <v>68</v>
      </c>
      <c r="AR409" s="6" t="str">
        <f>HYPERLINK("http://catalog.hathitrust.org/Record/000397922","HathiTrust Record")</f>
        <v>HathiTrust Record</v>
      </c>
      <c r="AS409" s="6" t="str">
        <f>HYPERLINK("https://creighton-primo.hosted.exlibrisgroup.com/primo-explore/search?tab=default_tab&amp;search_scope=EVERYTHING&amp;vid=01CRU&amp;lang=en_US&amp;offset=0&amp;query=any,contains,991000663079702656","Catalog Record")</f>
        <v>Catalog Record</v>
      </c>
      <c r="AT409" s="6" t="str">
        <f>HYPERLINK("http://www.worldcat.org/oclc/12262221","WorldCat Record")</f>
        <v>WorldCat Record</v>
      </c>
      <c r="AU409" s="3" t="s">
        <v>5343</v>
      </c>
      <c r="AV409" s="3" t="s">
        <v>5344</v>
      </c>
      <c r="AW409" s="3" t="s">
        <v>5345</v>
      </c>
      <c r="AX409" s="3" t="s">
        <v>5345</v>
      </c>
      <c r="AY409" s="3" t="s">
        <v>5346</v>
      </c>
      <c r="AZ409" s="3" t="s">
        <v>73</v>
      </c>
      <c r="BB409" s="3" t="s">
        <v>5347</v>
      </c>
      <c r="BC409" s="3" t="s">
        <v>5348</v>
      </c>
      <c r="BD409" s="3" t="s">
        <v>5349</v>
      </c>
    </row>
    <row r="410" spans="1:56" ht="45" customHeight="1" x14ac:dyDescent="0.25">
      <c r="A410" s="8" t="s">
        <v>58</v>
      </c>
      <c r="B410" s="2" t="s">
        <v>5350</v>
      </c>
      <c r="C410" s="2" t="s">
        <v>5351</v>
      </c>
      <c r="D410" s="2" t="s">
        <v>5352</v>
      </c>
      <c r="F410" s="3" t="s">
        <v>58</v>
      </c>
      <c r="G410" s="3" t="s">
        <v>59</v>
      </c>
      <c r="H410" s="3" t="s">
        <v>58</v>
      </c>
      <c r="I410" s="3" t="s">
        <v>58</v>
      </c>
      <c r="J410" s="3" t="s">
        <v>60</v>
      </c>
      <c r="K410" s="2" t="s">
        <v>5353</v>
      </c>
      <c r="L410" s="2" t="s">
        <v>5354</v>
      </c>
      <c r="M410" s="3" t="s">
        <v>393</v>
      </c>
      <c r="O410" s="3" t="s">
        <v>64</v>
      </c>
      <c r="P410" s="3" t="s">
        <v>191</v>
      </c>
      <c r="R410" s="3" t="s">
        <v>66</v>
      </c>
      <c r="S410" s="4">
        <v>3</v>
      </c>
      <c r="T410" s="4">
        <v>3</v>
      </c>
      <c r="U410" s="5" t="s">
        <v>5355</v>
      </c>
      <c r="V410" s="5" t="s">
        <v>5355</v>
      </c>
      <c r="W410" s="5" t="s">
        <v>2995</v>
      </c>
      <c r="X410" s="5" t="s">
        <v>2995</v>
      </c>
      <c r="Y410" s="4">
        <v>280</v>
      </c>
      <c r="Z410" s="4">
        <v>250</v>
      </c>
      <c r="AA410" s="4">
        <v>266</v>
      </c>
      <c r="AB410" s="4">
        <v>7</v>
      </c>
      <c r="AC410" s="4">
        <v>7</v>
      </c>
      <c r="AD410" s="4">
        <v>12</v>
      </c>
      <c r="AE410" s="4">
        <v>12</v>
      </c>
      <c r="AF410" s="4">
        <v>3</v>
      </c>
      <c r="AG410" s="4">
        <v>3</v>
      </c>
      <c r="AH410" s="4">
        <v>2</v>
      </c>
      <c r="AI410" s="4">
        <v>2</v>
      </c>
      <c r="AJ410" s="4">
        <v>4</v>
      </c>
      <c r="AK410" s="4">
        <v>4</v>
      </c>
      <c r="AL410" s="4">
        <v>5</v>
      </c>
      <c r="AM410" s="4">
        <v>5</v>
      </c>
      <c r="AN410" s="4">
        <v>0</v>
      </c>
      <c r="AO410" s="4">
        <v>0</v>
      </c>
      <c r="AP410" s="3" t="s">
        <v>58</v>
      </c>
      <c r="AQ410" s="3" t="s">
        <v>58</v>
      </c>
      <c r="AS410" s="6" t="str">
        <f>HYPERLINK("https://creighton-primo.hosted.exlibrisgroup.com/primo-explore/search?tab=default_tab&amp;search_scope=EVERYTHING&amp;vid=01CRU&amp;lang=en_US&amp;offset=0&amp;query=any,contains,991004896189702656","Catalog Record")</f>
        <v>Catalog Record</v>
      </c>
      <c r="AT410" s="6" t="str">
        <f>HYPERLINK("http://www.worldcat.org/oclc/5894042","WorldCat Record")</f>
        <v>WorldCat Record</v>
      </c>
      <c r="AU410" s="3" t="s">
        <v>5356</v>
      </c>
      <c r="AV410" s="3" t="s">
        <v>5357</v>
      </c>
      <c r="AW410" s="3" t="s">
        <v>5358</v>
      </c>
      <c r="AX410" s="3" t="s">
        <v>5358</v>
      </c>
      <c r="AY410" s="3" t="s">
        <v>5359</v>
      </c>
      <c r="AZ410" s="3" t="s">
        <v>73</v>
      </c>
      <c r="BB410" s="3" t="s">
        <v>5360</v>
      </c>
      <c r="BC410" s="3" t="s">
        <v>5361</v>
      </c>
      <c r="BD410" s="3" t="s">
        <v>5362</v>
      </c>
    </row>
    <row r="411" spans="1:56" ht="45" customHeight="1" x14ac:dyDescent="0.25">
      <c r="A411" s="8" t="s">
        <v>58</v>
      </c>
      <c r="B411" s="2" t="s">
        <v>5363</v>
      </c>
      <c r="C411" s="2" t="s">
        <v>5364</v>
      </c>
      <c r="D411" s="2" t="s">
        <v>5365</v>
      </c>
      <c r="F411" s="3" t="s">
        <v>58</v>
      </c>
      <c r="G411" s="3" t="s">
        <v>59</v>
      </c>
      <c r="H411" s="3" t="s">
        <v>58</v>
      </c>
      <c r="I411" s="3" t="s">
        <v>58</v>
      </c>
      <c r="J411" s="3" t="s">
        <v>60</v>
      </c>
      <c r="K411" s="2" t="s">
        <v>5366</v>
      </c>
      <c r="L411" s="2" t="s">
        <v>5367</v>
      </c>
      <c r="M411" s="3" t="s">
        <v>234</v>
      </c>
      <c r="O411" s="3" t="s">
        <v>64</v>
      </c>
      <c r="P411" s="3" t="s">
        <v>422</v>
      </c>
      <c r="R411" s="3" t="s">
        <v>66</v>
      </c>
      <c r="S411" s="4">
        <v>2</v>
      </c>
      <c r="T411" s="4">
        <v>2</v>
      </c>
      <c r="U411" s="5" t="s">
        <v>5368</v>
      </c>
      <c r="V411" s="5" t="s">
        <v>5368</v>
      </c>
      <c r="W411" s="5" t="s">
        <v>4209</v>
      </c>
      <c r="X411" s="5" t="s">
        <v>4209</v>
      </c>
      <c r="Y411" s="4">
        <v>297</v>
      </c>
      <c r="Z411" s="4">
        <v>252</v>
      </c>
      <c r="AA411" s="4">
        <v>257</v>
      </c>
      <c r="AB411" s="4">
        <v>3</v>
      </c>
      <c r="AC411" s="4">
        <v>3</v>
      </c>
      <c r="AD411" s="4">
        <v>12</v>
      </c>
      <c r="AE411" s="4">
        <v>12</v>
      </c>
      <c r="AF411" s="4">
        <v>5</v>
      </c>
      <c r="AG411" s="4">
        <v>5</v>
      </c>
      <c r="AH411" s="4">
        <v>2</v>
      </c>
      <c r="AI411" s="4">
        <v>2</v>
      </c>
      <c r="AJ411" s="4">
        <v>5</v>
      </c>
      <c r="AK411" s="4">
        <v>5</v>
      </c>
      <c r="AL411" s="4">
        <v>2</v>
      </c>
      <c r="AM411" s="4">
        <v>2</v>
      </c>
      <c r="AN411" s="4">
        <v>0</v>
      </c>
      <c r="AO411" s="4">
        <v>0</v>
      </c>
      <c r="AP411" s="3" t="s">
        <v>58</v>
      </c>
      <c r="AQ411" s="3" t="s">
        <v>58</v>
      </c>
      <c r="AS411" s="6" t="str">
        <f>HYPERLINK("https://creighton-primo.hosted.exlibrisgroup.com/primo-explore/search?tab=default_tab&amp;search_scope=EVERYTHING&amp;vid=01CRU&amp;lang=en_US&amp;offset=0&amp;query=any,contains,991003636759702656","Catalog Record")</f>
        <v>Catalog Record</v>
      </c>
      <c r="AT411" s="6" t="str">
        <f>HYPERLINK("http://www.worldcat.org/oclc/1230700","WorldCat Record")</f>
        <v>WorldCat Record</v>
      </c>
      <c r="AU411" s="3" t="s">
        <v>5369</v>
      </c>
      <c r="AV411" s="3" t="s">
        <v>5370</v>
      </c>
      <c r="AW411" s="3" t="s">
        <v>5371</v>
      </c>
      <c r="AX411" s="3" t="s">
        <v>5371</v>
      </c>
      <c r="AY411" s="3" t="s">
        <v>5372</v>
      </c>
      <c r="AZ411" s="3" t="s">
        <v>73</v>
      </c>
      <c r="BB411" s="3" t="s">
        <v>5373</v>
      </c>
      <c r="BC411" s="3" t="s">
        <v>5374</v>
      </c>
      <c r="BD411" s="3" t="s">
        <v>5375</v>
      </c>
    </row>
    <row r="412" spans="1:56" ht="45" customHeight="1" x14ac:dyDescent="0.25">
      <c r="A412" s="8" t="s">
        <v>58</v>
      </c>
      <c r="B412" s="2" t="s">
        <v>5376</v>
      </c>
      <c r="C412" s="2" t="s">
        <v>5377</v>
      </c>
      <c r="D412" s="2" t="s">
        <v>5378</v>
      </c>
      <c r="F412" s="3" t="s">
        <v>58</v>
      </c>
      <c r="G412" s="3" t="s">
        <v>59</v>
      </c>
      <c r="H412" s="3" t="s">
        <v>58</v>
      </c>
      <c r="I412" s="3" t="s">
        <v>58</v>
      </c>
      <c r="J412" s="3" t="s">
        <v>60</v>
      </c>
      <c r="L412" s="2" t="s">
        <v>5379</v>
      </c>
      <c r="M412" s="3" t="s">
        <v>762</v>
      </c>
      <c r="O412" s="3" t="s">
        <v>64</v>
      </c>
      <c r="P412" s="3" t="s">
        <v>99</v>
      </c>
      <c r="R412" s="3" t="s">
        <v>66</v>
      </c>
      <c r="S412" s="4">
        <v>1</v>
      </c>
      <c r="T412" s="4">
        <v>1</v>
      </c>
      <c r="U412" s="5" t="s">
        <v>5380</v>
      </c>
      <c r="V412" s="5" t="s">
        <v>5380</v>
      </c>
      <c r="W412" s="5" t="s">
        <v>236</v>
      </c>
      <c r="X412" s="5" t="s">
        <v>236</v>
      </c>
      <c r="Y412" s="4">
        <v>245</v>
      </c>
      <c r="Z412" s="4">
        <v>219</v>
      </c>
      <c r="AA412" s="4">
        <v>226</v>
      </c>
      <c r="AB412" s="4">
        <v>2</v>
      </c>
      <c r="AC412" s="4">
        <v>2</v>
      </c>
      <c r="AD412" s="4">
        <v>8</v>
      </c>
      <c r="AE412" s="4">
        <v>8</v>
      </c>
      <c r="AF412" s="4">
        <v>5</v>
      </c>
      <c r="AG412" s="4">
        <v>5</v>
      </c>
      <c r="AH412" s="4">
        <v>1</v>
      </c>
      <c r="AI412" s="4">
        <v>1</v>
      </c>
      <c r="AJ412" s="4">
        <v>3</v>
      </c>
      <c r="AK412" s="4">
        <v>3</v>
      </c>
      <c r="AL412" s="4">
        <v>1</v>
      </c>
      <c r="AM412" s="4">
        <v>1</v>
      </c>
      <c r="AN412" s="4">
        <v>0</v>
      </c>
      <c r="AO412" s="4">
        <v>0</v>
      </c>
      <c r="AP412" s="3" t="s">
        <v>58</v>
      </c>
      <c r="AQ412" s="3" t="s">
        <v>68</v>
      </c>
      <c r="AR412" s="6" t="str">
        <f>HYPERLINK("http://catalog.hathitrust.org/Record/001571062","HathiTrust Record")</f>
        <v>HathiTrust Record</v>
      </c>
      <c r="AS412" s="6" t="str">
        <f>HYPERLINK("https://creighton-primo.hosted.exlibrisgroup.com/primo-explore/search?tab=default_tab&amp;search_scope=EVERYTHING&amp;vid=01CRU&amp;lang=en_US&amp;offset=0&amp;query=any,contains,991002667989702656","Catalog Record")</f>
        <v>Catalog Record</v>
      </c>
      <c r="AT412" s="6" t="str">
        <f>HYPERLINK("http://www.worldcat.org/oclc/394175","WorldCat Record")</f>
        <v>WorldCat Record</v>
      </c>
      <c r="AU412" s="3" t="s">
        <v>5381</v>
      </c>
      <c r="AV412" s="3" t="s">
        <v>5382</v>
      </c>
      <c r="AW412" s="3" t="s">
        <v>5383</v>
      </c>
      <c r="AX412" s="3" t="s">
        <v>5383</v>
      </c>
      <c r="AY412" s="3" t="s">
        <v>5384</v>
      </c>
      <c r="AZ412" s="3" t="s">
        <v>73</v>
      </c>
      <c r="BB412" s="3" t="s">
        <v>5385</v>
      </c>
      <c r="BC412" s="3" t="s">
        <v>5386</v>
      </c>
      <c r="BD412" s="3" t="s">
        <v>5387</v>
      </c>
    </row>
    <row r="413" spans="1:56" ht="45" customHeight="1" x14ac:dyDescent="0.25">
      <c r="A413" s="8" t="s">
        <v>58</v>
      </c>
      <c r="B413" s="2" t="s">
        <v>5388</v>
      </c>
      <c r="C413" s="2" t="s">
        <v>5389</v>
      </c>
      <c r="D413" s="2" t="s">
        <v>5390</v>
      </c>
      <c r="F413" s="3" t="s">
        <v>58</v>
      </c>
      <c r="G413" s="3" t="s">
        <v>59</v>
      </c>
      <c r="H413" s="3" t="s">
        <v>68</v>
      </c>
      <c r="I413" s="3" t="s">
        <v>58</v>
      </c>
      <c r="J413" s="3" t="s">
        <v>60</v>
      </c>
      <c r="L413" s="2" t="s">
        <v>5391</v>
      </c>
      <c r="M413" s="3" t="s">
        <v>1013</v>
      </c>
      <c r="O413" s="3" t="s">
        <v>64</v>
      </c>
      <c r="P413" s="3" t="s">
        <v>147</v>
      </c>
      <c r="R413" s="3" t="s">
        <v>66</v>
      </c>
      <c r="S413" s="4">
        <v>27</v>
      </c>
      <c r="T413" s="4">
        <v>27</v>
      </c>
      <c r="U413" s="5" t="s">
        <v>5392</v>
      </c>
      <c r="V413" s="5" t="s">
        <v>5392</v>
      </c>
      <c r="W413" s="5" t="s">
        <v>1783</v>
      </c>
      <c r="X413" s="5" t="s">
        <v>1783</v>
      </c>
      <c r="Y413" s="4">
        <v>309</v>
      </c>
      <c r="Z413" s="4">
        <v>265</v>
      </c>
      <c r="AA413" s="4">
        <v>265</v>
      </c>
      <c r="AB413" s="4">
        <v>3</v>
      </c>
      <c r="AC413" s="4">
        <v>3</v>
      </c>
      <c r="AD413" s="4">
        <v>8</v>
      </c>
      <c r="AE413" s="4">
        <v>8</v>
      </c>
      <c r="AF413" s="4">
        <v>2</v>
      </c>
      <c r="AG413" s="4">
        <v>2</v>
      </c>
      <c r="AH413" s="4">
        <v>1</v>
      </c>
      <c r="AI413" s="4">
        <v>1</v>
      </c>
      <c r="AJ413" s="4">
        <v>6</v>
      </c>
      <c r="AK413" s="4">
        <v>6</v>
      </c>
      <c r="AL413" s="4">
        <v>0</v>
      </c>
      <c r="AM413" s="4">
        <v>0</v>
      </c>
      <c r="AN413" s="4">
        <v>0</v>
      </c>
      <c r="AO413" s="4">
        <v>0</v>
      </c>
      <c r="AP413" s="3" t="s">
        <v>58</v>
      </c>
      <c r="AQ413" s="3" t="s">
        <v>58</v>
      </c>
      <c r="AS413" s="6" t="str">
        <f>HYPERLINK("https://creighton-primo.hosted.exlibrisgroup.com/primo-explore/search?tab=default_tab&amp;search_scope=EVERYTHING&amp;vid=01CRU&amp;lang=en_US&amp;offset=0&amp;query=any,contains,991000850439702656","Catalog Record")</f>
        <v>Catalog Record</v>
      </c>
      <c r="AT413" s="6" t="str">
        <f>HYPERLINK("http://www.worldcat.org/oclc/13582000","WorldCat Record")</f>
        <v>WorldCat Record</v>
      </c>
      <c r="AU413" s="3" t="s">
        <v>5393</v>
      </c>
      <c r="AV413" s="3" t="s">
        <v>5394</v>
      </c>
      <c r="AW413" s="3" t="s">
        <v>5395</v>
      </c>
      <c r="AX413" s="3" t="s">
        <v>5395</v>
      </c>
      <c r="AY413" s="3" t="s">
        <v>5396</v>
      </c>
      <c r="AZ413" s="3" t="s">
        <v>73</v>
      </c>
      <c r="BB413" s="3" t="s">
        <v>5397</v>
      </c>
      <c r="BC413" s="3" t="s">
        <v>5398</v>
      </c>
      <c r="BD413" s="3" t="s">
        <v>5399</v>
      </c>
    </row>
    <row r="414" spans="1:56" ht="45" customHeight="1" x14ac:dyDescent="0.25">
      <c r="A414" s="8" t="s">
        <v>58</v>
      </c>
      <c r="B414" s="2" t="s">
        <v>5400</v>
      </c>
      <c r="C414" s="2" t="s">
        <v>5401</v>
      </c>
      <c r="D414" s="2" t="s">
        <v>5402</v>
      </c>
      <c r="F414" s="3" t="s">
        <v>58</v>
      </c>
      <c r="G414" s="3" t="s">
        <v>59</v>
      </c>
      <c r="H414" s="3" t="s">
        <v>58</v>
      </c>
      <c r="I414" s="3" t="s">
        <v>58</v>
      </c>
      <c r="J414" s="3" t="s">
        <v>60</v>
      </c>
      <c r="K414" s="2" t="s">
        <v>5403</v>
      </c>
      <c r="L414" s="2" t="s">
        <v>5404</v>
      </c>
      <c r="M414" s="3" t="s">
        <v>509</v>
      </c>
      <c r="O414" s="3" t="s">
        <v>64</v>
      </c>
      <c r="P414" s="3" t="s">
        <v>65</v>
      </c>
      <c r="Q414" s="2" t="s">
        <v>5405</v>
      </c>
      <c r="R414" s="3" t="s">
        <v>66</v>
      </c>
      <c r="S414" s="4">
        <v>23</v>
      </c>
      <c r="T414" s="4">
        <v>23</v>
      </c>
      <c r="U414" s="5" t="s">
        <v>5406</v>
      </c>
      <c r="V414" s="5" t="s">
        <v>5406</v>
      </c>
      <c r="W414" s="5" t="s">
        <v>5407</v>
      </c>
      <c r="X414" s="5" t="s">
        <v>5407</v>
      </c>
      <c r="Y414" s="4">
        <v>347</v>
      </c>
      <c r="Z414" s="4">
        <v>260</v>
      </c>
      <c r="AA414" s="4">
        <v>261</v>
      </c>
      <c r="AB414" s="4">
        <v>4</v>
      </c>
      <c r="AC414" s="4">
        <v>4</v>
      </c>
      <c r="AD414" s="4">
        <v>16</v>
      </c>
      <c r="AE414" s="4">
        <v>16</v>
      </c>
      <c r="AF414" s="4">
        <v>7</v>
      </c>
      <c r="AG414" s="4">
        <v>7</v>
      </c>
      <c r="AH414" s="4">
        <v>3</v>
      </c>
      <c r="AI414" s="4">
        <v>3</v>
      </c>
      <c r="AJ414" s="4">
        <v>7</v>
      </c>
      <c r="AK414" s="4">
        <v>7</v>
      </c>
      <c r="AL414" s="4">
        <v>3</v>
      </c>
      <c r="AM414" s="4">
        <v>3</v>
      </c>
      <c r="AN414" s="4">
        <v>0</v>
      </c>
      <c r="AO414" s="4">
        <v>0</v>
      </c>
      <c r="AP414" s="3" t="s">
        <v>58</v>
      </c>
      <c r="AQ414" s="3" t="s">
        <v>68</v>
      </c>
      <c r="AR414" s="6" t="str">
        <f>HYPERLINK("http://catalog.hathitrust.org/Record/003133535","HathiTrust Record")</f>
        <v>HathiTrust Record</v>
      </c>
      <c r="AS414" s="6" t="str">
        <f>HYPERLINK("https://creighton-primo.hosted.exlibrisgroup.com/primo-explore/search?tab=default_tab&amp;search_scope=EVERYTHING&amp;vid=01CRU&amp;lang=en_US&amp;offset=0&amp;query=any,contains,991002643089702656","Catalog Record")</f>
        <v>Catalog Record</v>
      </c>
      <c r="AT414" s="6" t="str">
        <f>HYPERLINK("http://www.worldcat.org/oclc/32166730","WorldCat Record")</f>
        <v>WorldCat Record</v>
      </c>
      <c r="AU414" s="3" t="s">
        <v>5408</v>
      </c>
      <c r="AV414" s="3" t="s">
        <v>5409</v>
      </c>
      <c r="AW414" s="3" t="s">
        <v>5410</v>
      </c>
      <c r="AX414" s="3" t="s">
        <v>5410</v>
      </c>
      <c r="AY414" s="3" t="s">
        <v>5411</v>
      </c>
      <c r="AZ414" s="3" t="s">
        <v>73</v>
      </c>
      <c r="BB414" s="3" t="s">
        <v>5412</v>
      </c>
      <c r="BC414" s="3" t="s">
        <v>5413</v>
      </c>
      <c r="BD414" s="3" t="s">
        <v>5414</v>
      </c>
    </row>
    <row r="415" spans="1:56" ht="45" customHeight="1" x14ac:dyDescent="0.25">
      <c r="A415" s="8" t="s">
        <v>58</v>
      </c>
      <c r="B415" s="2" t="s">
        <v>5415</v>
      </c>
      <c r="C415" s="2" t="s">
        <v>5416</v>
      </c>
      <c r="D415" s="2" t="s">
        <v>5417</v>
      </c>
      <c r="F415" s="3" t="s">
        <v>58</v>
      </c>
      <c r="G415" s="3" t="s">
        <v>59</v>
      </c>
      <c r="H415" s="3" t="s">
        <v>68</v>
      </c>
      <c r="I415" s="3" t="s">
        <v>58</v>
      </c>
      <c r="J415" s="3" t="s">
        <v>60</v>
      </c>
      <c r="L415" s="2" t="s">
        <v>5418</v>
      </c>
      <c r="M415" s="3" t="s">
        <v>552</v>
      </c>
      <c r="N415" s="2" t="s">
        <v>63</v>
      </c>
      <c r="O415" s="3" t="s">
        <v>64</v>
      </c>
      <c r="P415" s="3" t="s">
        <v>147</v>
      </c>
      <c r="R415" s="3" t="s">
        <v>66</v>
      </c>
      <c r="S415" s="4">
        <v>35</v>
      </c>
      <c r="T415" s="4">
        <v>35</v>
      </c>
      <c r="U415" s="5" t="s">
        <v>5419</v>
      </c>
      <c r="V415" s="5" t="s">
        <v>5419</v>
      </c>
      <c r="W415" s="5" t="s">
        <v>2293</v>
      </c>
      <c r="X415" s="5" t="s">
        <v>2293</v>
      </c>
      <c r="Y415" s="4">
        <v>327</v>
      </c>
      <c r="Z415" s="4">
        <v>258</v>
      </c>
      <c r="AA415" s="4">
        <v>266</v>
      </c>
      <c r="AB415" s="4">
        <v>3</v>
      </c>
      <c r="AC415" s="4">
        <v>3</v>
      </c>
      <c r="AD415" s="4">
        <v>6</v>
      </c>
      <c r="AE415" s="4">
        <v>6</v>
      </c>
      <c r="AF415" s="4">
        <v>1</v>
      </c>
      <c r="AG415" s="4">
        <v>1</v>
      </c>
      <c r="AH415" s="4">
        <v>1</v>
      </c>
      <c r="AI415" s="4">
        <v>1</v>
      </c>
      <c r="AJ415" s="4">
        <v>3</v>
      </c>
      <c r="AK415" s="4">
        <v>3</v>
      </c>
      <c r="AL415" s="4">
        <v>1</v>
      </c>
      <c r="AM415" s="4">
        <v>1</v>
      </c>
      <c r="AN415" s="4">
        <v>0</v>
      </c>
      <c r="AO415" s="4">
        <v>0</v>
      </c>
      <c r="AP415" s="3" t="s">
        <v>58</v>
      </c>
      <c r="AQ415" s="3" t="s">
        <v>68</v>
      </c>
      <c r="AR415" s="6" t="str">
        <f>HYPERLINK("http://catalog.hathitrust.org/Record/001093167","HathiTrust Record")</f>
        <v>HathiTrust Record</v>
      </c>
      <c r="AS415" s="6" t="str">
        <f>HYPERLINK("https://creighton-primo.hosted.exlibrisgroup.com/primo-explore/search?tab=default_tab&amp;search_scope=EVERYTHING&amp;vid=01CRU&amp;lang=en_US&amp;offset=0&amp;query=any,contains,991001339009702656","Catalog Record")</f>
        <v>Catalog Record</v>
      </c>
      <c r="AT415" s="6" t="str">
        <f>HYPERLINK("http://www.worldcat.org/oclc/18379521","WorldCat Record")</f>
        <v>WorldCat Record</v>
      </c>
      <c r="AU415" s="3" t="s">
        <v>5420</v>
      </c>
      <c r="AV415" s="3" t="s">
        <v>5421</v>
      </c>
      <c r="AW415" s="3" t="s">
        <v>5422</v>
      </c>
      <c r="AX415" s="3" t="s">
        <v>5422</v>
      </c>
      <c r="AY415" s="3" t="s">
        <v>5423</v>
      </c>
      <c r="AZ415" s="3" t="s">
        <v>73</v>
      </c>
      <c r="BB415" s="3" t="s">
        <v>5424</v>
      </c>
      <c r="BC415" s="3" t="s">
        <v>5425</v>
      </c>
      <c r="BD415" s="3" t="s">
        <v>5426</v>
      </c>
    </row>
    <row r="416" spans="1:56" ht="45" customHeight="1" x14ac:dyDescent="0.25">
      <c r="A416" s="8" t="s">
        <v>58</v>
      </c>
      <c r="B416" s="2" t="s">
        <v>5427</v>
      </c>
      <c r="C416" s="2" t="s">
        <v>5428</v>
      </c>
      <c r="D416" s="2" t="s">
        <v>5429</v>
      </c>
      <c r="F416" s="3" t="s">
        <v>58</v>
      </c>
      <c r="G416" s="3" t="s">
        <v>59</v>
      </c>
      <c r="H416" s="3" t="s">
        <v>68</v>
      </c>
      <c r="I416" s="3" t="s">
        <v>58</v>
      </c>
      <c r="J416" s="3" t="s">
        <v>60</v>
      </c>
      <c r="K416" s="2" t="s">
        <v>5430</v>
      </c>
      <c r="L416" s="2" t="s">
        <v>5431</v>
      </c>
      <c r="M416" s="3" t="s">
        <v>580</v>
      </c>
      <c r="O416" s="3" t="s">
        <v>64</v>
      </c>
      <c r="P416" s="3" t="s">
        <v>114</v>
      </c>
      <c r="R416" s="3" t="s">
        <v>66</v>
      </c>
      <c r="S416" s="4">
        <v>8</v>
      </c>
      <c r="T416" s="4">
        <v>8</v>
      </c>
      <c r="U416" s="5" t="s">
        <v>5432</v>
      </c>
      <c r="V416" s="5" t="s">
        <v>5432</v>
      </c>
      <c r="W416" s="5" t="s">
        <v>5433</v>
      </c>
      <c r="X416" s="5" t="s">
        <v>5433</v>
      </c>
      <c r="Y416" s="4">
        <v>414</v>
      </c>
      <c r="Z416" s="4">
        <v>303</v>
      </c>
      <c r="AA416" s="4">
        <v>336</v>
      </c>
      <c r="AB416" s="4">
        <v>5</v>
      </c>
      <c r="AC416" s="4">
        <v>5</v>
      </c>
      <c r="AD416" s="4">
        <v>12</v>
      </c>
      <c r="AE416" s="4">
        <v>14</v>
      </c>
      <c r="AF416" s="4">
        <v>3</v>
      </c>
      <c r="AG416" s="4">
        <v>5</v>
      </c>
      <c r="AH416" s="4">
        <v>3</v>
      </c>
      <c r="AI416" s="4">
        <v>3</v>
      </c>
      <c r="AJ416" s="4">
        <v>4</v>
      </c>
      <c r="AK416" s="4">
        <v>5</v>
      </c>
      <c r="AL416" s="4">
        <v>3</v>
      </c>
      <c r="AM416" s="4">
        <v>3</v>
      </c>
      <c r="AN416" s="4">
        <v>0</v>
      </c>
      <c r="AO416" s="4">
        <v>0</v>
      </c>
      <c r="AP416" s="3" t="s">
        <v>58</v>
      </c>
      <c r="AQ416" s="3" t="s">
        <v>68</v>
      </c>
      <c r="AR416" s="6" t="str">
        <f>HYPERLINK("http://catalog.hathitrust.org/Record/000916574","HathiTrust Record")</f>
        <v>HathiTrust Record</v>
      </c>
      <c r="AS416" s="6" t="str">
        <f>HYPERLINK("https://creighton-primo.hosted.exlibrisgroup.com/primo-explore/search?tab=default_tab&amp;search_scope=EVERYTHING&amp;vid=01CRU&amp;lang=en_US&amp;offset=0&amp;query=any,contains,991001092249702656","Catalog Record")</f>
        <v>Catalog Record</v>
      </c>
      <c r="AT416" s="6" t="str">
        <f>HYPERLINK("http://www.worldcat.org/oclc/16225611","WorldCat Record")</f>
        <v>WorldCat Record</v>
      </c>
      <c r="AU416" s="3" t="s">
        <v>5434</v>
      </c>
      <c r="AV416" s="3" t="s">
        <v>5435</v>
      </c>
      <c r="AW416" s="3" t="s">
        <v>5436</v>
      </c>
      <c r="AX416" s="3" t="s">
        <v>5436</v>
      </c>
      <c r="AY416" s="3" t="s">
        <v>5437</v>
      </c>
      <c r="AZ416" s="3" t="s">
        <v>73</v>
      </c>
      <c r="BB416" s="3" t="s">
        <v>5438</v>
      </c>
      <c r="BC416" s="3" t="s">
        <v>5439</v>
      </c>
      <c r="BD416" s="3" t="s">
        <v>5440</v>
      </c>
    </row>
    <row r="417" spans="1:56" ht="45" customHeight="1" x14ac:dyDescent="0.25">
      <c r="A417" s="8" t="s">
        <v>58</v>
      </c>
      <c r="B417" s="2" t="s">
        <v>5441</v>
      </c>
      <c r="C417" s="2" t="s">
        <v>5442</v>
      </c>
      <c r="D417" s="2" t="s">
        <v>5443</v>
      </c>
      <c r="F417" s="3" t="s">
        <v>58</v>
      </c>
      <c r="G417" s="3" t="s">
        <v>59</v>
      </c>
      <c r="H417" s="3" t="s">
        <v>58</v>
      </c>
      <c r="I417" s="3" t="s">
        <v>58</v>
      </c>
      <c r="J417" s="3" t="s">
        <v>60</v>
      </c>
      <c r="K417" s="2" t="s">
        <v>5444</v>
      </c>
      <c r="L417" s="2" t="s">
        <v>3374</v>
      </c>
      <c r="M417" s="3" t="s">
        <v>681</v>
      </c>
      <c r="O417" s="3" t="s">
        <v>64</v>
      </c>
      <c r="P417" s="3" t="s">
        <v>177</v>
      </c>
      <c r="Q417" s="2" t="s">
        <v>5445</v>
      </c>
      <c r="R417" s="3" t="s">
        <v>66</v>
      </c>
      <c r="S417" s="4">
        <v>12</v>
      </c>
      <c r="T417" s="4">
        <v>12</v>
      </c>
      <c r="U417" s="5" t="s">
        <v>5432</v>
      </c>
      <c r="V417" s="5" t="s">
        <v>5432</v>
      </c>
      <c r="W417" s="5" t="s">
        <v>2995</v>
      </c>
      <c r="X417" s="5" t="s">
        <v>2995</v>
      </c>
      <c r="Y417" s="4">
        <v>413</v>
      </c>
      <c r="Z417" s="4">
        <v>313</v>
      </c>
      <c r="AA417" s="4">
        <v>315</v>
      </c>
      <c r="AB417" s="4">
        <v>2</v>
      </c>
      <c r="AC417" s="4">
        <v>2</v>
      </c>
      <c r="AD417" s="4">
        <v>17</v>
      </c>
      <c r="AE417" s="4">
        <v>17</v>
      </c>
      <c r="AF417" s="4">
        <v>8</v>
      </c>
      <c r="AG417" s="4">
        <v>8</v>
      </c>
      <c r="AH417" s="4">
        <v>4</v>
      </c>
      <c r="AI417" s="4">
        <v>4</v>
      </c>
      <c r="AJ417" s="4">
        <v>9</v>
      </c>
      <c r="AK417" s="4">
        <v>9</v>
      </c>
      <c r="AL417" s="4">
        <v>1</v>
      </c>
      <c r="AM417" s="4">
        <v>1</v>
      </c>
      <c r="AN417" s="4">
        <v>0</v>
      </c>
      <c r="AO417" s="4">
        <v>0</v>
      </c>
      <c r="AP417" s="3" t="s">
        <v>58</v>
      </c>
      <c r="AQ417" s="3" t="s">
        <v>68</v>
      </c>
      <c r="AR417" s="6" t="str">
        <f>HYPERLINK("http://catalog.hathitrust.org/Record/000476706","HathiTrust Record")</f>
        <v>HathiTrust Record</v>
      </c>
      <c r="AS417" s="6" t="str">
        <f>HYPERLINK("https://creighton-primo.hosted.exlibrisgroup.com/primo-explore/search?tab=default_tab&amp;search_scope=EVERYTHING&amp;vid=01CRU&amp;lang=en_US&amp;offset=0&amp;query=any,contains,991005251949702656","Catalog Record")</f>
        <v>Catalog Record</v>
      </c>
      <c r="AT417" s="6" t="str">
        <f>HYPERLINK("http://www.worldcat.org/oclc/8494736","WorldCat Record")</f>
        <v>WorldCat Record</v>
      </c>
      <c r="AU417" s="3" t="s">
        <v>5446</v>
      </c>
      <c r="AV417" s="3" t="s">
        <v>5447</v>
      </c>
      <c r="AW417" s="3" t="s">
        <v>5448</v>
      </c>
      <c r="AX417" s="3" t="s">
        <v>5448</v>
      </c>
      <c r="AY417" s="3" t="s">
        <v>5449</v>
      </c>
      <c r="AZ417" s="3" t="s">
        <v>73</v>
      </c>
      <c r="BB417" s="3" t="s">
        <v>5450</v>
      </c>
      <c r="BC417" s="3" t="s">
        <v>5451</v>
      </c>
      <c r="BD417" s="3" t="s">
        <v>5452</v>
      </c>
    </row>
    <row r="418" spans="1:56" ht="45" customHeight="1" x14ac:dyDescent="0.25">
      <c r="A418" s="8" t="s">
        <v>58</v>
      </c>
      <c r="B418" s="2" t="s">
        <v>5453</v>
      </c>
      <c r="C418" s="2" t="s">
        <v>5454</v>
      </c>
      <c r="D418" s="2" t="s">
        <v>5455</v>
      </c>
      <c r="F418" s="3" t="s">
        <v>58</v>
      </c>
      <c r="G418" s="3" t="s">
        <v>59</v>
      </c>
      <c r="H418" s="3" t="s">
        <v>58</v>
      </c>
      <c r="I418" s="3" t="s">
        <v>58</v>
      </c>
      <c r="J418" s="3" t="s">
        <v>60</v>
      </c>
      <c r="K418" s="2" t="s">
        <v>5456</v>
      </c>
      <c r="L418" s="2" t="s">
        <v>5457</v>
      </c>
      <c r="M418" s="3" t="s">
        <v>509</v>
      </c>
      <c r="O418" s="3" t="s">
        <v>64</v>
      </c>
      <c r="P418" s="3" t="s">
        <v>147</v>
      </c>
      <c r="R418" s="3" t="s">
        <v>66</v>
      </c>
      <c r="S418" s="4">
        <v>9</v>
      </c>
      <c r="T418" s="4">
        <v>9</v>
      </c>
      <c r="U418" s="5" t="s">
        <v>5458</v>
      </c>
      <c r="V418" s="5" t="s">
        <v>5458</v>
      </c>
      <c r="W418" s="5" t="s">
        <v>3404</v>
      </c>
      <c r="X418" s="5" t="s">
        <v>3404</v>
      </c>
      <c r="Y418" s="4">
        <v>270</v>
      </c>
      <c r="Z418" s="4">
        <v>244</v>
      </c>
      <c r="AA418" s="4">
        <v>297</v>
      </c>
      <c r="AB418" s="4">
        <v>3</v>
      </c>
      <c r="AC418" s="4">
        <v>3</v>
      </c>
      <c r="AD418" s="4">
        <v>12</v>
      </c>
      <c r="AE418" s="4">
        <v>12</v>
      </c>
      <c r="AF418" s="4">
        <v>4</v>
      </c>
      <c r="AG418" s="4">
        <v>4</v>
      </c>
      <c r="AH418" s="4">
        <v>3</v>
      </c>
      <c r="AI418" s="4">
        <v>3</v>
      </c>
      <c r="AJ418" s="4">
        <v>7</v>
      </c>
      <c r="AK418" s="4">
        <v>7</v>
      </c>
      <c r="AL418" s="4">
        <v>2</v>
      </c>
      <c r="AM418" s="4">
        <v>2</v>
      </c>
      <c r="AN418" s="4">
        <v>0</v>
      </c>
      <c r="AO418" s="4">
        <v>0</v>
      </c>
      <c r="AP418" s="3" t="s">
        <v>58</v>
      </c>
      <c r="AQ418" s="3" t="s">
        <v>68</v>
      </c>
      <c r="AR418" s="6" t="str">
        <f>HYPERLINK("http://catalog.hathitrust.org/Record/003096627","HathiTrust Record")</f>
        <v>HathiTrust Record</v>
      </c>
      <c r="AS418" s="6" t="str">
        <f>HYPERLINK("https://creighton-primo.hosted.exlibrisgroup.com/primo-explore/search?tab=default_tab&amp;search_scope=EVERYTHING&amp;vid=01CRU&amp;lang=en_US&amp;offset=0&amp;query=any,contains,991002672729702656","Catalog Record")</f>
        <v>Catalog Record</v>
      </c>
      <c r="AT418" s="6" t="str">
        <f>HYPERLINK("http://www.worldcat.org/oclc/34951547","WorldCat Record")</f>
        <v>WorldCat Record</v>
      </c>
      <c r="AU418" s="3" t="s">
        <v>5459</v>
      </c>
      <c r="AV418" s="3" t="s">
        <v>5460</v>
      </c>
      <c r="AW418" s="3" t="s">
        <v>5461</v>
      </c>
      <c r="AX418" s="3" t="s">
        <v>5461</v>
      </c>
      <c r="AY418" s="3" t="s">
        <v>5462</v>
      </c>
      <c r="AZ418" s="3" t="s">
        <v>73</v>
      </c>
      <c r="BB418" s="3" t="s">
        <v>5463</v>
      </c>
      <c r="BC418" s="3" t="s">
        <v>5464</v>
      </c>
      <c r="BD418" s="3" t="s">
        <v>5465</v>
      </c>
    </row>
    <row r="419" spans="1:56" ht="45" customHeight="1" x14ac:dyDescent="0.25">
      <c r="A419" s="8" t="s">
        <v>58</v>
      </c>
      <c r="B419" s="2" t="s">
        <v>5466</v>
      </c>
      <c r="C419" s="2" t="s">
        <v>5467</v>
      </c>
      <c r="D419" s="2" t="s">
        <v>5468</v>
      </c>
      <c r="F419" s="3" t="s">
        <v>58</v>
      </c>
      <c r="G419" s="3" t="s">
        <v>59</v>
      </c>
      <c r="H419" s="3" t="s">
        <v>58</v>
      </c>
      <c r="I419" s="3" t="s">
        <v>58</v>
      </c>
      <c r="J419" s="3" t="s">
        <v>60</v>
      </c>
      <c r="L419" s="2" t="s">
        <v>5469</v>
      </c>
      <c r="M419" s="3" t="s">
        <v>1451</v>
      </c>
      <c r="O419" s="3" t="s">
        <v>64</v>
      </c>
      <c r="P419" s="3" t="s">
        <v>250</v>
      </c>
      <c r="R419" s="3" t="s">
        <v>66</v>
      </c>
      <c r="S419" s="4">
        <v>2</v>
      </c>
      <c r="T419" s="4">
        <v>2</v>
      </c>
      <c r="U419" s="5" t="s">
        <v>5470</v>
      </c>
      <c r="V419" s="5" t="s">
        <v>5470</v>
      </c>
      <c r="W419" s="5" t="s">
        <v>5471</v>
      </c>
      <c r="X419" s="5" t="s">
        <v>5471</v>
      </c>
      <c r="Y419" s="4">
        <v>267</v>
      </c>
      <c r="Z419" s="4">
        <v>221</v>
      </c>
      <c r="AA419" s="4">
        <v>836</v>
      </c>
      <c r="AB419" s="4">
        <v>2</v>
      </c>
      <c r="AC419" s="4">
        <v>3</v>
      </c>
      <c r="AD419" s="4">
        <v>9</v>
      </c>
      <c r="AE419" s="4">
        <v>18</v>
      </c>
      <c r="AF419" s="4">
        <v>3</v>
      </c>
      <c r="AG419" s="4">
        <v>11</v>
      </c>
      <c r="AH419" s="4">
        <v>4</v>
      </c>
      <c r="AI419" s="4">
        <v>5</v>
      </c>
      <c r="AJ419" s="4">
        <v>5</v>
      </c>
      <c r="AK419" s="4">
        <v>7</v>
      </c>
      <c r="AL419" s="4">
        <v>1</v>
      </c>
      <c r="AM419" s="4">
        <v>2</v>
      </c>
      <c r="AN419" s="4">
        <v>0</v>
      </c>
      <c r="AO419" s="4">
        <v>0</v>
      </c>
      <c r="AP419" s="3" t="s">
        <v>58</v>
      </c>
      <c r="AQ419" s="3" t="s">
        <v>58</v>
      </c>
      <c r="AS419" s="6" t="str">
        <f>HYPERLINK("https://creighton-primo.hosted.exlibrisgroup.com/primo-explore/search?tab=default_tab&amp;search_scope=EVERYTHING&amp;vid=01CRU&amp;lang=en_US&amp;offset=0&amp;query=any,contains,991002854349702656","Catalog Record")</f>
        <v>Catalog Record</v>
      </c>
      <c r="AT419" s="6" t="str">
        <f>HYPERLINK("http://www.worldcat.org/oclc/37608250","WorldCat Record")</f>
        <v>WorldCat Record</v>
      </c>
      <c r="AU419" s="3" t="s">
        <v>5472</v>
      </c>
      <c r="AV419" s="3" t="s">
        <v>5473</v>
      </c>
      <c r="AW419" s="3" t="s">
        <v>5474</v>
      </c>
      <c r="AX419" s="3" t="s">
        <v>5474</v>
      </c>
      <c r="AY419" s="3" t="s">
        <v>5475</v>
      </c>
      <c r="AZ419" s="3" t="s">
        <v>73</v>
      </c>
      <c r="BB419" s="3" t="s">
        <v>5476</v>
      </c>
      <c r="BC419" s="3" t="s">
        <v>5477</v>
      </c>
      <c r="BD419" s="3" t="s">
        <v>5478</v>
      </c>
    </row>
    <row r="420" spans="1:56" ht="45" customHeight="1" x14ac:dyDescent="0.25">
      <c r="A420" s="8" t="s">
        <v>58</v>
      </c>
      <c r="B420" s="2" t="s">
        <v>5479</v>
      </c>
      <c r="C420" s="2" t="s">
        <v>5480</v>
      </c>
      <c r="D420" s="2" t="s">
        <v>5481</v>
      </c>
      <c r="F420" s="3" t="s">
        <v>58</v>
      </c>
      <c r="G420" s="3" t="s">
        <v>59</v>
      </c>
      <c r="H420" s="3" t="s">
        <v>58</v>
      </c>
      <c r="I420" s="3" t="s">
        <v>58</v>
      </c>
      <c r="J420" s="3" t="s">
        <v>60</v>
      </c>
      <c r="K420" s="2" t="s">
        <v>5482</v>
      </c>
      <c r="L420" s="2" t="s">
        <v>5483</v>
      </c>
      <c r="M420" s="3" t="s">
        <v>249</v>
      </c>
      <c r="O420" s="3" t="s">
        <v>64</v>
      </c>
      <c r="P420" s="3" t="s">
        <v>114</v>
      </c>
      <c r="R420" s="3" t="s">
        <v>66</v>
      </c>
      <c r="S420" s="4">
        <v>18</v>
      </c>
      <c r="T420" s="4">
        <v>18</v>
      </c>
      <c r="U420" s="5" t="s">
        <v>3678</v>
      </c>
      <c r="V420" s="5" t="s">
        <v>3678</v>
      </c>
      <c r="W420" s="5" t="s">
        <v>5484</v>
      </c>
      <c r="X420" s="5" t="s">
        <v>5484</v>
      </c>
      <c r="Y420" s="4">
        <v>330</v>
      </c>
      <c r="Z420" s="4">
        <v>183</v>
      </c>
      <c r="AA420" s="4">
        <v>185</v>
      </c>
      <c r="AB420" s="4">
        <v>3</v>
      </c>
      <c r="AC420" s="4">
        <v>3</v>
      </c>
      <c r="AD420" s="4">
        <v>3</v>
      </c>
      <c r="AE420" s="4">
        <v>3</v>
      </c>
      <c r="AF420" s="4">
        <v>0</v>
      </c>
      <c r="AG420" s="4">
        <v>0</v>
      </c>
      <c r="AH420" s="4">
        <v>0</v>
      </c>
      <c r="AI420" s="4">
        <v>0</v>
      </c>
      <c r="AJ420" s="4">
        <v>2</v>
      </c>
      <c r="AK420" s="4">
        <v>2</v>
      </c>
      <c r="AL420" s="4">
        <v>1</v>
      </c>
      <c r="AM420" s="4">
        <v>1</v>
      </c>
      <c r="AN420" s="4">
        <v>0</v>
      </c>
      <c r="AO420" s="4">
        <v>0</v>
      </c>
      <c r="AP420" s="3" t="s">
        <v>58</v>
      </c>
      <c r="AQ420" s="3" t="s">
        <v>68</v>
      </c>
      <c r="AR420" s="6" t="str">
        <f>HYPERLINK("http://catalog.hathitrust.org/Record/000252398","HathiTrust Record")</f>
        <v>HathiTrust Record</v>
      </c>
      <c r="AS420" s="6" t="str">
        <f>HYPERLINK("https://creighton-primo.hosted.exlibrisgroup.com/primo-explore/search?tab=default_tab&amp;search_scope=EVERYTHING&amp;vid=01CRU&amp;lang=en_US&amp;offset=0&amp;query=any,contains,991004325089702656","Catalog Record")</f>
        <v>Catalog Record</v>
      </c>
      <c r="AT420" s="6" t="str">
        <f>HYPERLINK("http://www.worldcat.org/oclc/3034244","WorldCat Record")</f>
        <v>WorldCat Record</v>
      </c>
      <c r="AU420" s="3" t="s">
        <v>5485</v>
      </c>
      <c r="AV420" s="3" t="s">
        <v>5486</v>
      </c>
      <c r="AW420" s="3" t="s">
        <v>5487</v>
      </c>
      <c r="AX420" s="3" t="s">
        <v>5487</v>
      </c>
      <c r="AY420" s="3" t="s">
        <v>5488</v>
      </c>
      <c r="AZ420" s="3" t="s">
        <v>73</v>
      </c>
      <c r="BB420" s="3" t="s">
        <v>5489</v>
      </c>
      <c r="BC420" s="3" t="s">
        <v>5490</v>
      </c>
      <c r="BD420" s="3" t="s">
        <v>5491</v>
      </c>
    </row>
    <row r="421" spans="1:56" ht="45" customHeight="1" x14ac:dyDescent="0.25">
      <c r="A421" s="8" t="s">
        <v>58</v>
      </c>
      <c r="B421" s="2" t="s">
        <v>5492</v>
      </c>
      <c r="C421" s="2" t="s">
        <v>5493</v>
      </c>
      <c r="D421" s="2" t="s">
        <v>5494</v>
      </c>
      <c r="F421" s="3" t="s">
        <v>58</v>
      </c>
      <c r="G421" s="3" t="s">
        <v>59</v>
      </c>
      <c r="H421" s="3" t="s">
        <v>58</v>
      </c>
      <c r="I421" s="3" t="s">
        <v>58</v>
      </c>
      <c r="J421" s="3" t="s">
        <v>60</v>
      </c>
      <c r="K421" s="2" t="s">
        <v>5482</v>
      </c>
      <c r="L421" s="2" t="s">
        <v>4301</v>
      </c>
      <c r="M421" s="3" t="s">
        <v>450</v>
      </c>
      <c r="N421" s="2" t="s">
        <v>567</v>
      </c>
      <c r="O421" s="3" t="s">
        <v>64</v>
      </c>
      <c r="P421" s="3" t="s">
        <v>114</v>
      </c>
      <c r="R421" s="3" t="s">
        <v>66</v>
      </c>
      <c r="S421" s="4">
        <v>18</v>
      </c>
      <c r="T421" s="4">
        <v>18</v>
      </c>
      <c r="U421" s="5" t="s">
        <v>5495</v>
      </c>
      <c r="V421" s="5" t="s">
        <v>5495</v>
      </c>
      <c r="W421" s="5" t="s">
        <v>5484</v>
      </c>
      <c r="X421" s="5" t="s">
        <v>5484</v>
      </c>
      <c r="Y421" s="4">
        <v>282</v>
      </c>
      <c r="Z421" s="4">
        <v>181</v>
      </c>
      <c r="AA421" s="4">
        <v>188</v>
      </c>
      <c r="AB421" s="4">
        <v>2</v>
      </c>
      <c r="AC421" s="4">
        <v>2</v>
      </c>
      <c r="AD421" s="4">
        <v>4</v>
      </c>
      <c r="AE421" s="4">
        <v>4</v>
      </c>
      <c r="AF421" s="4">
        <v>0</v>
      </c>
      <c r="AG421" s="4">
        <v>0</v>
      </c>
      <c r="AH421" s="4">
        <v>1</v>
      </c>
      <c r="AI421" s="4">
        <v>1</v>
      </c>
      <c r="AJ421" s="4">
        <v>3</v>
      </c>
      <c r="AK421" s="4">
        <v>3</v>
      </c>
      <c r="AL421" s="4">
        <v>1</v>
      </c>
      <c r="AM421" s="4">
        <v>1</v>
      </c>
      <c r="AN421" s="4">
        <v>0</v>
      </c>
      <c r="AO421" s="4">
        <v>0</v>
      </c>
      <c r="AP421" s="3" t="s">
        <v>58</v>
      </c>
      <c r="AQ421" s="3" t="s">
        <v>68</v>
      </c>
      <c r="AR421" s="6" t="str">
        <f>HYPERLINK("http://catalog.hathitrust.org/Record/000829322","HathiTrust Record")</f>
        <v>HathiTrust Record</v>
      </c>
      <c r="AS421" s="6" t="str">
        <f>HYPERLINK("https://creighton-primo.hosted.exlibrisgroup.com/primo-explore/search?tab=default_tab&amp;search_scope=EVERYTHING&amp;vid=01CRU&amp;lang=en_US&amp;offset=0&amp;query=any,contains,991000897899702656","Catalog Record")</f>
        <v>Catalog Record</v>
      </c>
      <c r="AT421" s="6" t="str">
        <f>HYPERLINK("http://www.worldcat.org/oclc/14002268","WorldCat Record")</f>
        <v>WorldCat Record</v>
      </c>
      <c r="AU421" s="3" t="s">
        <v>5496</v>
      </c>
      <c r="AV421" s="3" t="s">
        <v>5497</v>
      </c>
      <c r="AW421" s="3" t="s">
        <v>5498</v>
      </c>
      <c r="AX421" s="3" t="s">
        <v>5498</v>
      </c>
      <c r="AY421" s="3" t="s">
        <v>5499</v>
      </c>
      <c r="AZ421" s="3" t="s">
        <v>73</v>
      </c>
      <c r="BB421" s="3" t="s">
        <v>5500</v>
      </c>
      <c r="BC421" s="3" t="s">
        <v>5501</v>
      </c>
      <c r="BD421" s="3" t="s">
        <v>5502</v>
      </c>
    </row>
    <row r="422" spans="1:56" ht="45" customHeight="1" x14ac:dyDescent="0.25">
      <c r="A422" s="8" t="s">
        <v>58</v>
      </c>
      <c r="B422" s="2" t="s">
        <v>5503</v>
      </c>
      <c r="C422" s="2" t="s">
        <v>5504</v>
      </c>
      <c r="D422" s="2" t="s">
        <v>5505</v>
      </c>
      <c r="F422" s="3" t="s">
        <v>58</v>
      </c>
      <c r="G422" s="3" t="s">
        <v>59</v>
      </c>
      <c r="H422" s="3" t="s">
        <v>58</v>
      </c>
      <c r="I422" s="3" t="s">
        <v>58</v>
      </c>
      <c r="J422" s="3" t="s">
        <v>60</v>
      </c>
      <c r="K422" s="2" t="s">
        <v>5506</v>
      </c>
      <c r="L422" s="2" t="s">
        <v>5507</v>
      </c>
      <c r="M422" s="3" t="s">
        <v>1451</v>
      </c>
      <c r="O422" s="3" t="s">
        <v>64</v>
      </c>
      <c r="P422" s="3" t="s">
        <v>65</v>
      </c>
      <c r="R422" s="3" t="s">
        <v>66</v>
      </c>
      <c r="S422" s="4">
        <v>2</v>
      </c>
      <c r="T422" s="4">
        <v>2</v>
      </c>
      <c r="U422" s="5" t="s">
        <v>5508</v>
      </c>
      <c r="V422" s="5" t="s">
        <v>5508</v>
      </c>
      <c r="W422" s="5" t="s">
        <v>5509</v>
      </c>
      <c r="X422" s="5" t="s">
        <v>5509</v>
      </c>
      <c r="Y422" s="4">
        <v>355</v>
      </c>
      <c r="Z422" s="4">
        <v>250</v>
      </c>
      <c r="AA422" s="4">
        <v>252</v>
      </c>
      <c r="AB422" s="4">
        <v>3</v>
      </c>
      <c r="AC422" s="4">
        <v>3</v>
      </c>
      <c r="AD422" s="4">
        <v>7</v>
      </c>
      <c r="AE422" s="4">
        <v>7</v>
      </c>
      <c r="AF422" s="4">
        <v>4</v>
      </c>
      <c r="AG422" s="4">
        <v>4</v>
      </c>
      <c r="AH422" s="4">
        <v>0</v>
      </c>
      <c r="AI422" s="4">
        <v>0</v>
      </c>
      <c r="AJ422" s="4">
        <v>2</v>
      </c>
      <c r="AK422" s="4">
        <v>2</v>
      </c>
      <c r="AL422" s="4">
        <v>2</v>
      </c>
      <c r="AM422" s="4">
        <v>2</v>
      </c>
      <c r="AN422" s="4">
        <v>0</v>
      </c>
      <c r="AO422" s="4">
        <v>0</v>
      </c>
      <c r="AP422" s="3" t="s">
        <v>58</v>
      </c>
      <c r="AQ422" s="3" t="s">
        <v>68</v>
      </c>
      <c r="AR422" s="6" t="str">
        <f>HYPERLINK("http://catalog.hathitrust.org/Record/003259551","HathiTrust Record")</f>
        <v>HathiTrust Record</v>
      </c>
      <c r="AS422" s="6" t="str">
        <f>HYPERLINK("https://creighton-primo.hosted.exlibrisgroup.com/primo-explore/search?tab=default_tab&amp;search_scope=EVERYTHING&amp;vid=01CRU&amp;lang=en_US&amp;offset=0&amp;query=any,contains,991003329899702656","Catalog Record")</f>
        <v>Catalog Record</v>
      </c>
      <c r="AT422" s="6" t="str">
        <f>HYPERLINK("http://www.worldcat.org/oclc/37527587","WorldCat Record")</f>
        <v>WorldCat Record</v>
      </c>
      <c r="AU422" s="3" t="s">
        <v>5510</v>
      </c>
      <c r="AV422" s="3" t="s">
        <v>5511</v>
      </c>
      <c r="AW422" s="3" t="s">
        <v>5512</v>
      </c>
      <c r="AX422" s="3" t="s">
        <v>5512</v>
      </c>
      <c r="AY422" s="3" t="s">
        <v>5513</v>
      </c>
      <c r="AZ422" s="3" t="s">
        <v>73</v>
      </c>
      <c r="BB422" s="3" t="s">
        <v>5514</v>
      </c>
      <c r="BC422" s="3" t="s">
        <v>5515</v>
      </c>
      <c r="BD422" s="3" t="s">
        <v>5516</v>
      </c>
    </row>
    <row r="423" spans="1:56" ht="45" customHeight="1" x14ac:dyDescent="0.25">
      <c r="A423" s="8" t="s">
        <v>58</v>
      </c>
      <c r="B423" s="2" t="s">
        <v>5517</v>
      </c>
      <c r="C423" s="2" t="s">
        <v>5518</v>
      </c>
      <c r="D423" s="2" t="s">
        <v>5519</v>
      </c>
      <c r="F423" s="3" t="s">
        <v>58</v>
      </c>
      <c r="G423" s="3" t="s">
        <v>59</v>
      </c>
      <c r="H423" s="3" t="s">
        <v>58</v>
      </c>
      <c r="I423" s="3" t="s">
        <v>58</v>
      </c>
      <c r="J423" s="3" t="s">
        <v>60</v>
      </c>
      <c r="K423" s="2" t="s">
        <v>5520</v>
      </c>
      <c r="L423" s="2" t="s">
        <v>5521</v>
      </c>
      <c r="M423" s="3" t="s">
        <v>1451</v>
      </c>
      <c r="O423" s="3" t="s">
        <v>64</v>
      </c>
      <c r="P423" s="3" t="s">
        <v>177</v>
      </c>
      <c r="Q423" s="2" t="s">
        <v>3082</v>
      </c>
      <c r="R423" s="3" t="s">
        <v>66</v>
      </c>
      <c r="S423" s="4">
        <v>2</v>
      </c>
      <c r="T423" s="4">
        <v>2</v>
      </c>
      <c r="U423" s="5" t="s">
        <v>5522</v>
      </c>
      <c r="V423" s="5" t="s">
        <v>5522</v>
      </c>
      <c r="W423" s="5" t="s">
        <v>2745</v>
      </c>
      <c r="X423" s="5" t="s">
        <v>2745</v>
      </c>
      <c r="Y423" s="4">
        <v>484</v>
      </c>
      <c r="Z423" s="4">
        <v>419</v>
      </c>
      <c r="AA423" s="4">
        <v>455</v>
      </c>
      <c r="AB423" s="4">
        <v>2</v>
      </c>
      <c r="AC423" s="4">
        <v>2</v>
      </c>
      <c r="AD423" s="4">
        <v>13</v>
      </c>
      <c r="AE423" s="4">
        <v>16</v>
      </c>
      <c r="AF423" s="4">
        <v>2</v>
      </c>
      <c r="AG423" s="4">
        <v>4</v>
      </c>
      <c r="AH423" s="4">
        <v>4</v>
      </c>
      <c r="AI423" s="4">
        <v>4</v>
      </c>
      <c r="AJ423" s="4">
        <v>9</v>
      </c>
      <c r="AK423" s="4">
        <v>10</v>
      </c>
      <c r="AL423" s="4">
        <v>1</v>
      </c>
      <c r="AM423" s="4">
        <v>1</v>
      </c>
      <c r="AN423" s="4">
        <v>0</v>
      </c>
      <c r="AO423" s="4">
        <v>0</v>
      </c>
      <c r="AP423" s="3" t="s">
        <v>58</v>
      </c>
      <c r="AQ423" s="3" t="s">
        <v>58</v>
      </c>
      <c r="AS423" s="6" t="str">
        <f>HYPERLINK("https://creighton-primo.hosted.exlibrisgroup.com/primo-explore/search?tab=default_tab&amp;search_scope=EVERYTHING&amp;vid=01CRU&amp;lang=en_US&amp;offset=0&amp;query=any,contains,991002966449702656","Catalog Record")</f>
        <v>Catalog Record</v>
      </c>
      <c r="AT423" s="6" t="str">
        <f>HYPERLINK("http://www.worldcat.org/oclc/39695720","WorldCat Record")</f>
        <v>WorldCat Record</v>
      </c>
      <c r="AU423" s="3" t="s">
        <v>5523</v>
      </c>
      <c r="AV423" s="3" t="s">
        <v>5524</v>
      </c>
      <c r="AW423" s="3" t="s">
        <v>5525</v>
      </c>
      <c r="AX423" s="3" t="s">
        <v>5525</v>
      </c>
      <c r="AY423" s="3" t="s">
        <v>5526</v>
      </c>
      <c r="AZ423" s="3" t="s">
        <v>73</v>
      </c>
      <c r="BB423" s="3" t="s">
        <v>5527</v>
      </c>
      <c r="BC423" s="3" t="s">
        <v>5528</v>
      </c>
      <c r="BD423" s="3" t="s">
        <v>5529</v>
      </c>
    </row>
    <row r="424" spans="1:56" ht="45" customHeight="1" x14ac:dyDescent="0.25">
      <c r="A424" s="8" t="s">
        <v>58</v>
      </c>
      <c r="B424" s="2" t="s">
        <v>5530</v>
      </c>
      <c r="C424" s="2" t="s">
        <v>5531</v>
      </c>
      <c r="D424" s="2" t="s">
        <v>5532</v>
      </c>
      <c r="F424" s="3" t="s">
        <v>58</v>
      </c>
      <c r="G424" s="3" t="s">
        <v>59</v>
      </c>
      <c r="H424" s="3" t="s">
        <v>58</v>
      </c>
      <c r="I424" s="3" t="s">
        <v>58</v>
      </c>
      <c r="J424" s="3" t="s">
        <v>60</v>
      </c>
      <c r="K424" s="2" t="s">
        <v>5533</v>
      </c>
      <c r="L424" s="2" t="s">
        <v>5534</v>
      </c>
      <c r="M424" s="3" t="s">
        <v>146</v>
      </c>
      <c r="O424" s="3" t="s">
        <v>64</v>
      </c>
      <c r="P424" s="3" t="s">
        <v>4508</v>
      </c>
      <c r="R424" s="3" t="s">
        <v>66</v>
      </c>
      <c r="S424" s="4">
        <v>6</v>
      </c>
      <c r="T424" s="4">
        <v>6</v>
      </c>
      <c r="U424" s="5" t="s">
        <v>5535</v>
      </c>
      <c r="V424" s="5" t="s">
        <v>5535</v>
      </c>
      <c r="W424" s="5" t="s">
        <v>5536</v>
      </c>
      <c r="X424" s="5" t="s">
        <v>5536</v>
      </c>
      <c r="Y424" s="4">
        <v>152</v>
      </c>
      <c r="Z424" s="4">
        <v>130</v>
      </c>
      <c r="AA424" s="4">
        <v>621</v>
      </c>
      <c r="AB424" s="4">
        <v>2</v>
      </c>
      <c r="AC424" s="4">
        <v>8</v>
      </c>
      <c r="AD424" s="4">
        <v>6</v>
      </c>
      <c r="AE424" s="4">
        <v>34</v>
      </c>
      <c r="AF424" s="4">
        <v>3</v>
      </c>
      <c r="AG424" s="4">
        <v>13</v>
      </c>
      <c r="AH424" s="4">
        <v>1</v>
      </c>
      <c r="AI424" s="4">
        <v>6</v>
      </c>
      <c r="AJ424" s="4">
        <v>3</v>
      </c>
      <c r="AK424" s="4">
        <v>12</v>
      </c>
      <c r="AL424" s="4">
        <v>1</v>
      </c>
      <c r="AM424" s="4">
        <v>7</v>
      </c>
      <c r="AN424" s="4">
        <v>0</v>
      </c>
      <c r="AO424" s="4">
        <v>1</v>
      </c>
      <c r="AP424" s="3" t="s">
        <v>58</v>
      </c>
      <c r="AQ424" s="3" t="s">
        <v>58</v>
      </c>
      <c r="AS424" s="6" t="str">
        <f>HYPERLINK("https://creighton-primo.hosted.exlibrisgroup.com/primo-explore/search?tab=default_tab&amp;search_scope=EVERYTHING&amp;vid=01CRU&amp;lang=en_US&amp;offset=0&amp;query=any,contains,991002764949702656","Catalog Record")</f>
        <v>Catalog Record</v>
      </c>
      <c r="AT424" s="6" t="str">
        <f>HYPERLINK("http://www.worldcat.org/oclc/36283966","WorldCat Record")</f>
        <v>WorldCat Record</v>
      </c>
      <c r="AU424" s="3" t="s">
        <v>5537</v>
      </c>
      <c r="AV424" s="3" t="s">
        <v>5538</v>
      </c>
      <c r="AW424" s="3" t="s">
        <v>5539</v>
      </c>
      <c r="AX424" s="3" t="s">
        <v>5539</v>
      </c>
      <c r="AY424" s="3" t="s">
        <v>5540</v>
      </c>
      <c r="AZ424" s="3" t="s">
        <v>73</v>
      </c>
      <c r="BB424" s="3" t="s">
        <v>5541</v>
      </c>
      <c r="BC424" s="3" t="s">
        <v>5542</v>
      </c>
      <c r="BD424" s="3" t="s">
        <v>5543</v>
      </c>
    </row>
    <row r="425" spans="1:56" ht="45" customHeight="1" x14ac:dyDescent="0.25">
      <c r="A425" s="8" t="s">
        <v>58</v>
      </c>
      <c r="B425" s="2" t="s">
        <v>5544</v>
      </c>
      <c r="C425" s="2" t="s">
        <v>5545</v>
      </c>
      <c r="D425" s="2" t="s">
        <v>5546</v>
      </c>
      <c r="F425" s="3" t="s">
        <v>58</v>
      </c>
      <c r="G425" s="3" t="s">
        <v>59</v>
      </c>
      <c r="H425" s="3" t="s">
        <v>58</v>
      </c>
      <c r="I425" s="3" t="s">
        <v>58</v>
      </c>
      <c r="J425" s="3" t="s">
        <v>60</v>
      </c>
      <c r="L425" s="2" t="s">
        <v>5547</v>
      </c>
      <c r="M425" s="3" t="s">
        <v>1451</v>
      </c>
      <c r="O425" s="3" t="s">
        <v>64</v>
      </c>
      <c r="P425" s="3" t="s">
        <v>901</v>
      </c>
      <c r="Q425" s="2" t="s">
        <v>5548</v>
      </c>
      <c r="R425" s="3" t="s">
        <v>66</v>
      </c>
      <c r="S425" s="4">
        <v>9</v>
      </c>
      <c r="T425" s="4">
        <v>9</v>
      </c>
      <c r="U425" s="5" t="s">
        <v>5458</v>
      </c>
      <c r="V425" s="5" t="s">
        <v>5458</v>
      </c>
      <c r="W425" s="5" t="s">
        <v>4803</v>
      </c>
      <c r="X425" s="5" t="s">
        <v>4803</v>
      </c>
      <c r="Y425" s="4">
        <v>343</v>
      </c>
      <c r="Z425" s="4">
        <v>294</v>
      </c>
      <c r="AA425" s="4">
        <v>296</v>
      </c>
      <c r="AB425" s="4">
        <v>3</v>
      </c>
      <c r="AC425" s="4">
        <v>3</v>
      </c>
      <c r="AD425" s="4">
        <v>15</v>
      </c>
      <c r="AE425" s="4">
        <v>15</v>
      </c>
      <c r="AF425" s="4">
        <v>4</v>
      </c>
      <c r="AG425" s="4">
        <v>4</v>
      </c>
      <c r="AH425" s="4">
        <v>4</v>
      </c>
      <c r="AI425" s="4">
        <v>4</v>
      </c>
      <c r="AJ425" s="4">
        <v>9</v>
      </c>
      <c r="AK425" s="4">
        <v>9</v>
      </c>
      <c r="AL425" s="4">
        <v>2</v>
      </c>
      <c r="AM425" s="4">
        <v>2</v>
      </c>
      <c r="AN425" s="4">
        <v>0</v>
      </c>
      <c r="AO425" s="4">
        <v>0</v>
      </c>
      <c r="AP425" s="3" t="s">
        <v>58</v>
      </c>
      <c r="AQ425" s="3" t="s">
        <v>68</v>
      </c>
      <c r="AR425" s="6" t="str">
        <f>HYPERLINK("http://catalog.hathitrust.org/Record/003996360","HathiTrust Record")</f>
        <v>HathiTrust Record</v>
      </c>
      <c r="AS425" s="6" t="str">
        <f>HYPERLINK("https://creighton-primo.hosted.exlibrisgroup.com/primo-explore/search?tab=default_tab&amp;search_scope=EVERYTHING&amp;vid=01CRU&amp;lang=en_US&amp;offset=0&amp;query=any,contains,991002807759702656","Catalog Record")</f>
        <v>Catalog Record</v>
      </c>
      <c r="AT425" s="6" t="str">
        <f>HYPERLINK("http://www.worldcat.org/oclc/36884826","WorldCat Record")</f>
        <v>WorldCat Record</v>
      </c>
      <c r="AU425" s="3" t="s">
        <v>5549</v>
      </c>
      <c r="AV425" s="3" t="s">
        <v>5550</v>
      </c>
      <c r="AW425" s="3" t="s">
        <v>5551</v>
      </c>
      <c r="AX425" s="3" t="s">
        <v>5551</v>
      </c>
      <c r="AY425" s="3" t="s">
        <v>5552</v>
      </c>
      <c r="AZ425" s="3" t="s">
        <v>73</v>
      </c>
      <c r="BB425" s="3" t="s">
        <v>5553</v>
      </c>
      <c r="BC425" s="3" t="s">
        <v>5554</v>
      </c>
      <c r="BD425" s="3" t="s">
        <v>5555</v>
      </c>
    </row>
    <row r="426" spans="1:56" ht="45" customHeight="1" x14ac:dyDescent="0.25">
      <c r="A426" s="8" t="s">
        <v>58</v>
      </c>
      <c r="B426" s="2" t="s">
        <v>5556</v>
      </c>
      <c r="C426" s="2" t="s">
        <v>5557</v>
      </c>
      <c r="D426" s="2" t="s">
        <v>5558</v>
      </c>
      <c r="F426" s="3" t="s">
        <v>58</v>
      </c>
      <c r="G426" s="3" t="s">
        <v>59</v>
      </c>
      <c r="H426" s="3" t="s">
        <v>58</v>
      </c>
      <c r="I426" s="3" t="s">
        <v>58</v>
      </c>
      <c r="J426" s="3" t="s">
        <v>60</v>
      </c>
      <c r="K426" s="2" t="s">
        <v>5559</v>
      </c>
      <c r="L426" s="2" t="s">
        <v>5560</v>
      </c>
      <c r="M426" s="3" t="s">
        <v>249</v>
      </c>
      <c r="O426" s="3" t="s">
        <v>64</v>
      </c>
      <c r="P426" s="3" t="s">
        <v>99</v>
      </c>
      <c r="R426" s="3" t="s">
        <v>66</v>
      </c>
      <c r="S426" s="4">
        <v>2</v>
      </c>
      <c r="T426" s="4">
        <v>2</v>
      </c>
      <c r="U426" s="5" t="s">
        <v>5561</v>
      </c>
      <c r="V426" s="5" t="s">
        <v>5561</v>
      </c>
      <c r="W426" s="5" t="s">
        <v>2995</v>
      </c>
      <c r="X426" s="5" t="s">
        <v>2995</v>
      </c>
      <c r="Y426" s="4">
        <v>240</v>
      </c>
      <c r="Z426" s="4">
        <v>206</v>
      </c>
      <c r="AA426" s="4">
        <v>208</v>
      </c>
      <c r="AB426" s="4">
        <v>4</v>
      </c>
      <c r="AC426" s="4">
        <v>4</v>
      </c>
      <c r="AD426" s="4">
        <v>8</v>
      </c>
      <c r="AE426" s="4">
        <v>8</v>
      </c>
      <c r="AF426" s="4">
        <v>4</v>
      </c>
      <c r="AG426" s="4">
        <v>4</v>
      </c>
      <c r="AH426" s="4">
        <v>0</v>
      </c>
      <c r="AI426" s="4">
        <v>0</v>
      </c>
      <c r="AJ426" s="4">
        <v>4</v>
      </c>
      <c r="AK426" s="4">
        <v>4</v>
      </c>
      <c r="AL426" s="4">
        <v>2</v>
      </c>
      <c r="AM426" s="4">
        <v>2</v>
      </c>
      <c r="AN426" s="4">
        <v>0</v>
      </c>
      <c r="AO426" s="4">
        <v>0</v>
      </c>
      <c r="AP426" s="3" t="s">
        <v>58</v>
      </c>
      <c r="AQ426" s="3" t="s">
        <v>68</v>
      </c>
      <c r="AR426" s="6" t="str">
        <f>HYPERLINK("http://catalog.hathitrust.org/Record/000088465","HathiTrust Record")</f>
        <v>HathiTrust Record</v>
      </c>
      <c r="AS426" s="6" t="str">
        <f>HYPERLINK("https://creighton-primo.hosted.exlibrisgroup.com/primo-explore/search?tab=default_tab&amp;search_scope=EVERYTHING&amp;vid=01CRU&amp;lang=en_US&amp;offset=0&amp;query=any,contains,991005265329702656","Catalog Record")</f>
        <v>Catalog Record</v>
      </c>
      <c r="AT426" s="6" t="str">
        <f>HYPERLINK("http://www.worldcat.org/oclc/3516357","WorldCat Record")</f>
        <v>WorldCat Record</v>
      </c>
      <c r="AU426" s="3" t="s">
        <v>5562</v>
      </c>
      <c r="AV426" s="3" t="s">
        <v>5563</v>
      </c>
      <c r="AW426" s="3" t="s">
        <v>5564</v>
      </c>
      <c r="AX426" s="3" t="s">
        <v>5564</v>
      </c>
      <c r="AY426" s="3" t="s">
        <v>5565</v>
      </c>
      <c r="AZ426" s="3" t="s">
        <v>73</v>
      </c>
      <c r="BB426" s="3" t="s">
        <v>5566</v>
      </c>
      <c r="BC426" s="3" t="s">
        <v>5567</v>
      </c>
      <c r="BD426" s="3" t="s">
        <v>5568</v>
      </c>
    </row>
    <row r="427" spans="1:56" ht="45" customHeight="1" x14ac:dyDescent="0.25">
      <c r="A427" s="8" t="s">
        <v>58</v>
      </c>
      <c r="B427" s="2" t="s">
        <v>5569</v>
      </c>
      <c r="C427" s="2" t="s">
        <v>5570</v>
      </c>
      <c r="D427" s="2" t="s">
        <v>5571</v>
      </c>
      <c r="F427" s="3" t="s">
        <v>58</v>
      </c>
      <c r="G427" s="3" t="s">
        <v>59</v>
      </c>
      <c r="H427" s="3" t="s">
        <v>58</v>
      </c>
      <c r="I427" s="3" t="s">
        <v>58</v>
      </c>
      <c r="J427" s="3" t="s">
        <v>60</v>
      </c>
      <c r="L427" s="2" t="s">
        <v>5572</v>
      </c>
      <c r="M427" s="3" t="s">
        <v>1166</v>
      </c>
      <c r="O427" s="3" t="s">
        <v>64</v>
      </c>
      <c r="P427" s="3" t="s">
        <v>177</v>
      </c>
      <c r="Q427" s="2" t="s">
        <v>5573</v>
      </c>
      <c r="R427" s="3" t="s">
        <v>66</v>
      </c>
      <c r="S427" s="4">
        <v>1</v>
      </c>
      <c r="T427" s="4">
        <v>1</v>
      </c>
      <c r="U427" s="5" t="s">
        <v>5574</v>
      </c>
      <c r="V427" s="5" t="s">
        <v>5574</v>
      </c>
      <c r="W427" s="5" t="s">
        <v>5575</v>
      </c>
      <c r="X427" s="5" t="s">
        <v>5575</v>
      </c>
      <c r="Y427" s="4">
        <v>229</v>
      </c>
      <c r="Z427" s="4">
        <v>198</v>
      </c>
      <c r="AA427" s="4">
        <v>205</v>
      </c>
      <c r="AB427" s="4">
        <v>1</v>
      </c>
      <c r="AC427" s="4">
        <v>1</v>
      </c>
      <c r="AD427" s="4">
        <v>9</v>
      </c>
      <c r="AE427" s="4">
        <v>9</v>
      </c>
      <c r="AF427" s="4">
        <v>4</v>
      </c>
      <c r="AG427" s="4">
        <v>4</v>
      </c>
      <c r="AH427" s="4">
        <v>3</v>
      </c>
      <c r="AI427" s="4">
        <v>3</v>
      </c>
      <c r="AJ427" s="4">
        <v>6</v>
      </c>
      <c r="AK427" s="4">
        <v>6</v>
      </c>
      <c r="AL427" s="4">
        <v>0</v>
      </c>
      <c r="AM427" s="4">
        <v>0</v>
      </c>
      <c r="AN427" s="4">
        <v>0</v>
      </c>
      <c r="AO427" s="4">
        <v>0</v>
      </c>
      <c r="AP427" s="3" t="s">
        <v>58</v>
      </c>
      <c r="AQ427" s="3" t="s">
        <v>68</v>
      </c>
      <c r="AR427" s="6" t="str">
        <f>HYPERLINK("http://catalog.hathitrust.org/Record/003005752","HathiTrust Record")</f>
        <v>HathiTrust Record</v>
      </c>
      <c r="AS427" s="6" t="str">
        <f>HYPERLINK("https://creighton-primo.hosted.exlibrisgroup.com/primo-explore/search?tab=default_tab&amp;search_scope=EVERYTHING&amp;vid=01CRU&amp;lang=en_US&amp;offset=0&amp;query=any,contains,991002413139702656","Catalog Record")</f>
        <v>Catalog Record</v>
      </c>
      <c r="AT427" s="6" t="str">
        <f>HYPERLINK("http://www.worldcat.org/oclc/31410767","WorldCat Record")</f>
        <v>WorldCat Record</v>
      </c>
      <c r="AU427" s="3" t="s">
        <v>5576</v>
      </c>
      <c r="AV427" s="3" t="s">
        <v>5577</v>
      </c>
      <c r="AW427" s="3" t="s">
        <v>5578</v>
      </c>
      <c r="AX427" s="3" t="s">
        <v>5578</v>
      </c>
      <c r="AY427" s="3" t="s">
        <v>5579</v>
      </c>
      <c r="AZ427" s="3" t="s">
        <v>73</v>
      </c>
      <c r="BB427" s="3" t="s">
        <v>5580</v>
      </c>
      <c r="BC427" s="3" t="s">
        <v>5581</v>
      </c>
      <c r="BD427" s="3" t="s">
        <v>5582</v>
      </c>
    </row>
    <row r="428" spans="1:56" ht="45" customHeight="1" x14ac:dyDescent="0.25">
      <c r="A428" s="8" t="s">
        <v>58</v>
      </c>
      <c r="B428" s="2" t="s">
        <v>5583</v>
      </c>
      <c r="C428" s="2" t="s">
        <v>5584</v>
      </c>
      <c r="D428" s="2" t="s">
        <v>5585</v>
      </c>
      <c r="F428" s="3" t="s">
        <v>58</v>
      </c>
      <c r="G428" s="3" t="s">
        <v>59</v>
      </c>
      <c r="H428" s="3" t="s">
        <v>58</v>
      </c>
      <c r="I428" s="3" t="s">
        <v>58</v>
      </c>
      <c r="J428" s="3" t="s">
        <v>60</v>
      </c>
      <c r="L428" s="2" t="s">
        <v>3228</v>
      </c>
      <c r="M428" s="3" t="s">
        <v>146</v>
      </c>
      <c r="O428" s="3" t="s">
        <v>64</v>
      </c>
      <c r="P428" s="3" t="s">
        <v>65</v>
      </c>
      <c r="R428" s="3" t="s">
        <v>66</v>
      </c>
      <c r="S428" s="4">
        <v>2</v>
      </c>
      <c r="T428" s="4">
        <v>2</v>
      </c>
      <c r="U428" s="5" t="s">
        <v>221</v>
      </c>
      <c r="V428" s="5" t="s">
        <v>221</v>
      </c>
      <c r="W428" s="5" t="s">
        <v>5586</v>
      </c>
      <c r="X428" s="5" t="s">
        <v>5586</v>
      </c>
      <c r="Y428" s="4">
        <v>284</v>
      </c>
      <c r="Z428" s="4">
        <v>208</v>
      </c>
      <c r="AA428" s="4">
        <v>213</v>
      </c>
      <c r="AB428" s="4">
        <v>2</v>
      </c>
      <c r="AC428" s="4">
        <v>2</v>
      </c>
      <c r="AD428" s="4">
        <v>9</v>
      </c>
      <c r="AE428" s="4">
        <v>9</v>
      </c>
      <c r="AF428" s="4">
        <v>3</v>
      </c>
      <c r="AG428" s="4">
        <v>3</v>
      </c>
      <c r="AH428" s="4">
        <v>3</v>
      </c>
      <c r="AI428" s="4">
        <v>3</v>
      </c>
      <c r="AJ428" s="4">
        <v>6</v>
      </c>
      <c r="AK428" s="4">
        <v>6</v>
      </c>
      <c r="AL428" s="4">
        <v>1</v>
      </c>
      <c r="AM428" s="4">
        <v>1</v>
      </c>
      <c r="AN428" s="4">
        <v>0</v>
      </c>
      <c r="AO428" s="4">
        <v>0</v>
      </c>
      <c r="AP428" s="3" t="s">
        <v>58</v>
      </c>
      <c r="AQ428" s="3" t="s">
        <v>58</v>
      </c>
      <c r="AS428" s="6" t="str">
        <f>HYPERLINK("https://creighton-primo.hosted.exlibrisgroup.com/primo-explore/search?tab=default_tab&amp;search_scope=EVERYTHING&amp;vid=01CRU&amp;lang=en_US&amp;offset=0&amp;query=any,contains,991002797929702656","Catalog Record")</f>
        <v>Catalog Record</v>
      </c>
      <c r="AT428" s="6" t="str">
        <f>HYPERLINK("http://www.worldcat.org/oclc/36755720","WorldCat Record")</f>
        <v>WorldCat Record</v>
      </c>
      <c r="AU428" s="3" t="s">
        <v>5587</v>
      </c>
      <c r="AV428" s="3" t="s">
        <v>5588</v>
      </c>
      <c r="AW428" s="3" t="s">
        <v>5589</v>
      </c>
      <c r="AX428" s="3" t="s">
        <v>5589</v>
      </c>
      <c r="AY428" s="3" t="s">
        <v>5590</v>
      </c>
      <c r="AZ428" s="3" t="s">
        <v>73</v>
      </c>
      <c r="BB428" s="3" t="s">
        <v>5591</v>
      </c>
      <c r="BC428" s="3" t="s">
        <v>5592</v>
      </c>
      <c r="BD428" s="3" t="s">
        <v>5593</v>
      </c>
    </row>
    <row r="429" spans="1:56" ht="45" customHeight="1" x14ac:dyDescent="0.25">
      <c r="A429" s="8" t="s">
        <v>58</v>
      </c>
      <c r="B429" s="2" t="s">
        <v>5594</v>
      </c>
      <c r="C429" s="2" t="s">
        <v>5595</v>
      </c>
      <c r="D429" s="2" t="s">
        <v>5596</v>
      </c>
      <c r="F429" s="3" t="s">
        <v>58</v>
      </c>
      <c r="G429" s="3" t="s">
        <v>59</v>
      </c>
      <c r="H429" s="3" t="s">
        <v>58</v>
      </c>
      <c r="I429" s="3" t="s">
        <v>58</v>
      </c>
      <c r="J429" s="3" t="s">
        <v>60</v>
      </c>
      <c r="L429" s="2" t="s">
        <v>5597</v>
      </c>
      <c r="M429" s="3" t="s">
        <v>176</v>
      </c>
      <c r="O429" s="3" t="s">
        <v>64</v>
      </c>
      <c r="P429" s="3" t="s">
        <v>65</v>
      </c>
      <c r="R429" s="3" t="s">
        <v>66</v>
      </c>
      <c r="S429" s="4">
        <v>7</v>
      </c>
      <c r="T429" s="4">
        <v>7</v>
      </c>
      <c r="U429" s="5" t="s">
        <v>5598</v>
      </c>
      <c r="V429" s="5" t="s">
        <v>5598</v>
      </c>
      <c r="W429" s="5" t="s">
        <v>5599</v>
      </c>
      <c r="X429" s="5" t="s">
        <v>5599</v>
      </c>
      <c r="Y429" s="4">
        <v>366</v>
      </c>
      <c r="Z429" s="4">
        <v>261</v>
      </c>
      <c r="AA429" s="4">
        <v>266</v>
      </c>
      <c r="AB429" s="4">
        <v>3</v>
      </c>
      <c r="AC429" s="4">
        <v>3</v>
      </c>
      <c r="AD429" s="4">
        <v>18</v>
      </c>
      <c r="AE429" s="4">
        <v>18</v>
      </c>
      <c r="AF429" s="4">
        <v>6</v>
      </c>
      <c r="AG429" s="4">
        <v>6</v>
      </c>
      <c r="AH429" s="4">
        <v>4</v>
      </c>
      <c r="AI429" s="4">
        <v>4</v>
      </c>
      <c r="AJ429" s="4">
        <v>11</v>
      </c>
      <c r="AK429" s="4">
        <v>11</v>
      </c>
      <c r="AL429" s="4">
        <v>2</v>
      </c>
      <c r="AM429" s="4">
        <v>2</v>
      </c>
      <c r="AN429" s="4">
        <v>0</v>
      </c>
      <c r="AO429" s="4">
        <v>0</v>
      </c>
      <c r="AP429" s="3" t="s">
        <v>58</v>
      </c>
      <c r="AQ429" s="3" t="s">
        <v>58</v>
      </c>
      <c r="AS429" s="6" t="str">
        <f>HYPERLINK("https://creighton-primo.hosted.exlibrisgroup.com/primo-explore/search?tab=default_tab&amp;search_scope=EVERYTHING&amp;vid=01CRU&amp;lang=en_US&amp;offset=0&amp;query=any,contains,991002093209702656","Catalog Record")</f>
        <v>Catalog Record</v>
      </c>
      <c r="AT429" s="6" t="str">
        <f>HYPERLINK("http://www.worldcat.org/oclc/26853262","WorldCat Record")</f>
        <v>WorldCat Record</v>
      </c>
      <c r="AU429" s="3" t="s">
        <v>5600</v>
      </c>
      <c r="AV429" s="3" t="s">
        <v>5601</v>
      </c>
      <c r="AW429" s="3" t="s">
        <v>5602</v>
      </c>
      <c r="AX429" s="3" t="s">
        <v>5602</v>
      </c>
      <c r="AY429" s="3" t="s">
        <v>5603</v>
      </c>
      <c r="AZ429" s="3" t="s">
        <v>73</v>
      </c>
      <c r="BB429" s="3" t="s">
        <v>5604</v>
      </c>
      <c r="BC429" s="3" t="s">
        <v>5605</v>
      </c>
      <c r="BD429" s="3" t="s">
        <v>5606</v>
      </c>
    </row>
    <row r="430" spans="1:56" ht="45" customHeight="1" x14ac:dyDescent="0.25">
      <c r="A430" s="8" t="s">
        <v>58</v>
      </c>
      <c r="B430" s="2" t="s">
        <v>5607</v>
      </c>
      <c r="C430" s="2" t="s">
        <v>5608</v>
      </c>
      <c r="D430" s="2" t="s">
        <v>5609</v>
      </c>
      <c r="F430" s="3" t="s">
        <v>58</v>
      </c>
      <c r="G430" s="3" t="s">
        <v>59</v>
      </c>
      <c r="H430" s="3" t="s">
        <v>58</v>
      </c>
      <c r="I430" s="3" t="s">
        <v>58</v>
      </c>
      <c r="J430" s="3" t="s">
        <v>60</v>
      </c>
      <c r="K430" s="2" t="s">
        <v>5610</v>
      </c>
      <c r="L430" s="2" t="s">
        <v>5611</v>
      </c>
      <c r="M430" s="3" t="s">
        <v>306</v>
      </c>
      <c r="O430" s="3" t="s">
        <v>64</v>
      </c>
      <c r="P430" s="3" t="s">
        <v>147</v>
      </c>
      <c r="R430" s="3" t="s">
        <v>66</v>
      </c>
      <c r="S430" s="4">
        <v>3</v>
      </c>
      <c r="T430" s="4">
        <v>3</v>
      </c>
      <c r="U430" s="5" t="s">
        <v>5612</v>
      </c>
      <c r="V430" s="5" t="s">
        <v>5612</v>
      </c>
      <c r="W430" s="5" t="s">
        <v>1397</v>
      </c>
      <c r="X430" s="5" t="s">
        <v>1397</v>
      </c>
      <c r="Y430" s="4">
        <v>282</v>
      </c>
      <c r="Z430" s="4">
        <v>213</v>
      </c>
      <c r="AA430" s="4">
        <v>216</v>
      </c>
      <c r="AB430" s="4">
        <v>3</v>
      </c>
      <c r="AC430" s="4">
        <v>3</v>
      </c>
      <c r="AD430" s="4">
        <v>6</v>
      </c>
      <c r="AE430" s="4">
        <v>6</v>
      </c>
      <c r="AF430" s="4">
        <v>0</v>
      </c>
      <c r="AG430" s="4">
        <v>0</v>
      </c>
      <c r="AH430" s="4">
        <v>0</v>
      </c>
      <c r="AI430" s="4">
        <v>0</v>
      </c>
      <c r="AJ430" s="4">
        <v>5</v>
      </c>
      <c r="AK430" s="4">
        <v>5</v>
      </c>
      <c r="AL430" s="4">
        <v>1</v>
      </c>
      <c r="AM430" s="4">
        <v>1</v>
      </c>
      <c r="AN430" s="4">
        <v>0</v>
      </c>
      <c r="AO430" s="4">
        <v>0</v>
      </c>
      <c r="AP430" s="3" t="s">
        <v>58</v>
      </c>
      <c r="AQ430" s="3" t="s">
        <v>68</v>
      </c>
      <c r="AR430" s="6" t="str">
        <f>HYPERLINK("http://catalog.hathitrust.org/Record/000016231","HathiTrust Record")</f>
        <v>HathiTrust Record</v>
      </c>
      <c r="AS430" s="6" t="str">
        <f>HYPERLINK("https://creighton-primo.hosted.exlibrisgroup.com/primo-explore/search?tab=default_tab&amp;search_scope=EVERYTHING&amp;vid=01CRU&amp;lang=en_US&amp;offset=0&amp;query=any,contains,991003455589702656","Catalog Record")</f>
        <v>Catalog Record</v>
      </c>
      <c r="AT430" s="6" t="str">
        <f>HYPERLINK("http://www.worldcat.org/oclc/995055","WorldCat Record")</f>
        <v>WorldCat Record</v>
      </c>
      <c r="AU430" s="3" t="s">
        <v>5613</v>
      </c>
      <c r="AV430" s="3" t="s">
        <v>5614</v>
      </c>
      <c r="AW430" s="3" t="s">
        <v>5615</v>
      </c>
      <c r="AX430" s="3" t="s">
        <v>5615</v>
      </c>
      <c r="AY430" s="3" t="s">
        <v>5616</v>
      </c>
      <c r="AZ430" s="3" t="s">
        <v>73</v>
      </c>
      <c r="BB430" s="3" t="s">
        <v>5617</v>
      </c>
      <c r="BC430" s="3" t="s">
        <v>5618</v>
      </c>
      <c r="BD430" s="3" t="s">
        <v>5619</v>
      </c>
    </row>
    <row r="431" spans="1:56" ht="45" customHeight="1" x14ac:dyDescent="0.25">
      <c r="A431" s="8" t="s">
        <v>58</v>
      </c>
      <c r="B431" s="2" t="s">
        <v>5620</v>
      </c>
      <c r="C431" s="2" t="s">
        <v>5621</v>
      </c>
      <c r="D431" s="2" t="s">
        <v>5622</v>
      </c>
      <c r="F431" s="3" t="s">
        <v>58</v>
      </c>
      <c r="G431" s="3" t="s">
        <v>59</v>
      </c>
      <c r="H431" s="3" t="s">
        <v>58</v>
      </c>
      <c r="I431" s="3" t="s">
        <v>58</v>
      </c>
      <c r="J431" s="3" t="s">
        <v>60</v>
      </c>
      <c r="K431" s="2" t="s">
        <v>5623</v>
      </c>
      <c r="L431" s="2" t="s">
        <v>5624</v>
      </c>
      <c r="M431" s="3" t="s">
        <v>2800</v>
      </c>
      <c r="O431" s="3" t="s">
        <v>64</v>
      </c>
      <c r="P431" s="3" t="s">
        <v>177</v>
      </c>
      <c r="Q431" s="2" t="s">
        <v>5625</v>
      </c>
      <c r="R431" s="3" t="s">
        <v>66</v>
      </c>
      <c r="S431" s="4">
        <v>1</v>
      </c>
      <c r="T431" s="4">
        <v>1</v>
      </c>
      <c r="U431" s="5" t="s">
        <v>5626</v>
      </c>
      <c r="V431" s="5" t="s">
        <v>5626</v>
      </c>
      <c r="W431" s="5" t="s">
        <v>1397</v>
      </c>
      <c r="X431" s="5" t="s">
        <v>1397</v>
      </c>
      <c r="Y431" s="4">
        <v>579</v>
      </c>
      <c r="Z431" s="4">
        <v>441</v>
      </c>
      <c r="AA431" s="4">
        <v>449</v>
      </c>
      <c r="AB431" s="4">
        <v>5</v>
      </c>
      <c r="AC431" s="4">
        <v>5</v>
      </c>
      <c r="AD431" s="4">
        <v>22</v>
      </c>
      <c r="AE431" s="4">
        <v>22</v>
      </c>
      <c r="AF431" s="4">
        <v>4</v>
      </c>
      <c r="AG431" s="4">
        <v>4</v>
      </c>
      <c r="AH431" s="4">
        <v>5</v>
      </c>
      <c r="AI431" s="4">
        <v>5</v>
      </c>
      <c r="AJ431" s="4">
        <v>12</v>
      </c>
      <c r="AK431" s="4">
        <v>12</v>
      </c>
      <c r="AL431" s="4">
        <v>4</v>
      </c>
      <c r="AM431" s="4">
        <v>4</v>
      </c>
      <c r="AN431" s="4">
        <v>0</v>
      </c>
      <c r="AO431" s="4">
        <v>0</v>
      </c>
      <c r="AP431" s="3" t="s">
        <v>58</v>
      </c>
      <c r="AQ431" s="3" t="s">
        <v>68</v>
      </c>
      <c r="AR431" s="6" t="str">
        <f>HYPERLINK("http://catalog.hathitrust.org/Record/001571070","HathiTrust Record")</f>
        <v>HathiTrust Record</v>
      </c>
      <c r="AS431" s="6" t="str">
        <f>HYPERLINK("https://creighton-primo.hosted.exlibrisgroup.com/primo-explore/search?tab=default_tab&amp;search_scope=EVERYTHING&amp;vid=01CRU&amp;lang=en_US&amp;offset=0&amp;query=any,contains,991002167719702656","Catalog Record")</f>
        <v>Catalog Record</v>
      </c>
      <c r="AT431" s="6" t="str">
        <f>HYPERLINK("http://www.worldcat.org/oclc/275878","WorldCat Record")</f>
        <v>WorldCat Record</v>
      </c>
      <c r="AU431" s="3" t="s">
        <v>5627</v>
      </c>
      <c r="AV431" s="3" t="s">
        <v>5628</v>
      </c>
      <c r="AW431" s="3" t="s">
        <v>5629</v>
      </c>
      <c r="AX431" s="3" t="s">
        <v>5629</v>
      </c>
      <c r="AY431" s="3" t="s">
        <v>5630</v>
      </c>
      <c r="AZ431" s="3" t="s">
        <v>73</v>
      </c>
      <c r="BB431" s="3" t="s">
        <v>5631</v>
      </c>
      <c r="BC431" s="3" t="s">
        <v>5632</v>
      </c>
      <c r="BD431" s="3" t="s">
        <v>5633</v>
      </c>
    </row>
    <row r="432" spans="1:56" ht="45" customHeight="1" x14ac:dyDescent="0.25">
      <c r="A432" s="8" t="s">
        <v>58</v>
      </c>
      <c r="B432" s="2" t="s">
        <v>5634</v>
      </c>
      <c r="C432" s="2" t="s">
        <v>5635</v>
      </c>
      <c r="D432" s="2" t="s">
        <v>5636</v>
      </c>
      <c r="F432" s="3" t="s">
        <v>58</v>
      </c>
      <c r="G432" s="3" t="s">
        <v>59</v>
      </c>
      <c r="H432" s="3" t="s">
        <v>68</v>
      </c>
      <c r="I432" s="3" t="s">
        <v>58</v>
      </c>
      <c r="J432" s="3" t="s">
        <v>60</v>
      </c>
      <c r="L432" s="2" t="s">
        <v>5637</v>
      </c>
      <c r="M432" s="3" t="s">
        <v>291</v>
      </c>
      <c r="O432" s="3" t="s">
        <v>64</v>
      </c>
      <c r="P432" s="3" t="s">
        <v>177</v>
      </c>
      <c r="R432" s="3" t="s">
        <v>66</v>
      </c>
      <c r="S432" s="4">
        <v>10</v>
      </c>
      <c r="T432" s="4">
        <v>10</v>
      </c>
      <c r="U432" s="5" t="s">
        <v>5638</v>
      </c>
      <c r="V432" s="5" t="s">
        <v>5638</v>
      </c>
      <c r="W432" s="5" t="s">
        <v>1717</v>
      </c>
      <c r="X432" s="5" t="s">
        <v>1717</v>
      </c>
      <c r="Y432" s="4">
        <v>455</v>
      </c>
      <c r="Z432" s="4">
        <v>393</v>
      </c>
      <c r="AA432" s="4">
        <v>395</v>
      </c>
      <c r="AB432" s="4">
        <v>9</v>
      </c>
      <c r="AC432" s="4">
        <v>9</v>
      </c>
      <c r="AD432" s="4">
        <v>13</v>
      </c>
      <c r="AE432" s="4">
        <v>13</v>
      </c>
      <c r="AF432" s="4">
        <v>5</v>
      </c>
      <c r="AG432" s="4">
        <v>5</v>
      </c>
      <c r="AH432" s="4">
        <v>4</v>
      </c>
      <c r="AI432" s="4">
        <v>4</v>
      </c>
      <c r="AJ432" s="4">
        <v>4</v>
      </c>
      <c r="AK432" s="4">
        <v>4</v>
      </c>
      <c r="AL432" s="4">
        <v>4</v>
      </c>
      <c r="AM432" s="4">
        <v>4</v>
      </c>
      <c r="AN432" s="4">
        <v>0</v>
      </c>
      <c r="AO432" s="4">
        <v>0</v>
      </c>
      <c r="AP432" s="3" t="s">
        <v>58</v>
      </c>
      <c r="AQ432" s="3" t="s">
        <v>68</v>
      </c>
      <c r="AR432" s="6" t="str">
        <f>HYPERLINK("http://catalog.hathitrust.org/Record/000264526","HathiTrust Record")</f>
        <v>HathiTrust Record</v>
      </c>
      <c r="AS432" s="6" t="str">
        <f>HYPERLINK("https://creighton-primo.hosted.exlibrisgroup.com/primo-explore/search?tab=default_tab&amp;search_scope=EVERYTHING&amp;vid=01CRU&amp;lang=en_US&amp;offset=0&amp;query=any,contains,991005050199702656","Catalog Record")</f>
        <v>Catalog Record</v>
      </c>
      <c r="AT432" s="6" t="str">
        <f>HYPERLINK("http://www.worldcat.org/oclc/6864156","WorldCat Record")</f>
        <v>WorldCat Record</v>
      </c>
      <c r="AU432" s="3" t="s">
        <v>5639</v>
      </c>
      <c r="AV432" s="3" t="s">
        <v>5640</v>
      </c>
      <c r="AW432" s="3" t="s">
        <v>5641</v>
      </c>
      <c r="AX432" s="3" t="s">
        <v>5641</v>
      </c>
      <c r="AY432" s="3" t="s">
        <v>5642</v>
      </c>
      <c r="AZ432" s="3" t="s">
        <v>73</v>
      </c>
      <c r="BB432" s="3" t="s">
        <v>5643</v>
      </c>
      <c r="BC432" s="3" t="s">
        <v>5644</v>
      </c>
      <c r="BD432" s="3" t="s">
        <v>5645</v>
      </c>
    </row>
    <row r="433" spans="1:56" ht="45" customHeight="1" x14ac:dyDescent="0.25">
      <c r="A433" s="8" t="s">
        <v>58</v>
      </c>
      <c r="B433" s="2" t="s">
        <v>5646</v>
      </c>
      <c r="C433" s="2" t="s">
        <v>5647</v>
      </c>
      <c r="D433" s="2" t="s">
        <v>5648</v>
      </c>
      <c r="F433" s="3" t="s">
        <v>58</v>
      </c>
      <c r="G433" s="3" t="s">
        <v>59</v>
      </c>
      <c r="H433" s="3" t="s">
        <v>58</v>
      </c>
      <c r="I433" s="3" t="s">
        <v>58</v>
      </c>
      <c r="J433" s="3" t="s">
        <v>60</v>
      </c>
      <c r="K433" s="2" t="s">
        <v>5649</v>
      </c>
      <c r="L433" s="2" t="s">
        <v>5650</v>
      </c>
      <c r="M433" s="3" t="s">
        <v>522</v>
      </c>
      <c r="O433" s="3" t="s">
        <v>64</v>
      </c>
      <c r="P433" s="3" t="s">
        <v>901</v>
      </c>
      <c r="Q433" s="2" t="s">
        <v>5651</v>
      </c>
      <c r="R433" s="3" t="s">
        <v>66</v>
      </c>
      <c r="S433" s="4">
        <v>1</v>
      </c>
      <c r="T433" s="4">
        <v>1</v>
      </c>
      <c r="U433" s="5" t="s">
        <v>5652</v>
      </c>
      <c r="V433" s="5" t="s">
        <v>5652</v>
      </c>
      <c r="W433" s="5" t="s">
        <v>5652</v>
      </c>
      <c r="X433" s="5" t="s">
        <v>5652</v>
      </c>
      <c r="Y433" s="4">
        <v>897</v>
      </c>
      <c r="Z433" s="4">
        <v>826</v>
      </c>
      <c r="AA433" s="4">
        <v>1511</v>
      </c>
      <c r="AB433" s="4">
        <v>4</v>
      </c>
      <c r="AC433" s="4">
        <v>17</v>
      </c>
      <c r="AD433" s="4">
        <v>26</v>
      </c>
      <c r="AE433" s="4">
        <v>41</v>
      </c>
      <c r="AF433" s="4">
        <v>14</v>
      </c>
      <c r="AG433" s="4">
        <v>20</v>
      </c>
      <c r="AH433" s="4">
        <v>4</v>
      </c>
      <c r="AI433" s="4">
        <v>5</v>
      </c>
      <c r="AJ433" s="4">
        <v>11</v>
      </c>
      <c r="AK433" s="4">
        <v>13</v>
      </c>
      <c r="AL433" s="4">
        <v>2</v>
      </c>
      <c r="AM433" s="4">
        <v>11</v>
      </c>
      <c r="AN433" s="4">
        <v>0</v>
      </c>
      <c r="AO433" s="4">
        <v>0</v>
      </c>
      <c r="AP433" s="3" t="s">
        <v>58</v>
      </c>
      <c r="AQ433" s="3" t="s">
        <v>58</v>
      </c>
      <c r="AS433" s="6" t="str">
        <f>HYPERLINK("https://creighton-primo.hosted.exlibrisgroup.com/primo-explore/search?tab=default_tab&amp;search_scope=EVERYTHING&amp;vid=01CRU&amp;lang=en_US&amp;offset=0&amp;query=any,contains,991005273609702656","Catalog Record")</f>
        <v>Catalog Record</v>
      </c>
      <c r="AT433" s="6" t="str">
        <f>HYPERLINK("http://www.worldcat.org/oclc/76901776","WorldCat Record")</f>
        <v>WorldCat Record</v>
      </c>
      <c r="AU433" s="3" t="s">
        <v>5653</v>
      </c>
      <c r="AV433" s="3" t="s">
        <v>5654</v>
      </c>
      <c r="AW433" s="3" t="s">
        <v>5655</v>
      </c>
      <c r="AX433" s="3" t="s">
        <v>5655</v>
      </c>
      <c r="AY433" s="3" t="s">
        <v>5656</v>
      </c>
      <c r="AZ433" s="3" t="s">
        <v>73</v>
      </c>
      <c r="BB433" s="3" t="s">
        <v>5657</v>
      </c>
      <c r="BC433" s="3" t="s">
        <v>5658</v>
      </c>
      <c r="BD433" s="3" t="s">
        <v>5659</v>
      </c>
    </row>
    <row r="434" spans="1:56" ht="45" customHeight="1" x14ac:dyDescent="0.25">
      <c r="A434" s="8" t="s">
        <v>58</v>
      </c>
      <c r="B434" s="2" t="s">
        <v>5660</v>
      </c>
      <c r="C434" s="2" t="s">
        <v>5661</v>
      </c>
      <c r="D434" s="2" t="s">
        <v>5662</v>
      </c>
      <c r="F434" s="3" t="s">
        <v>58</v>
      </c>
      <c r="G434" s="3" t="s">
        <v>59</v>
      </c>
      <c r="H434" s="3" t="s">
        <v>58</v>
      </c>
      <c r="I434" s="3" t="s">
        <v>68</v>
      </c>
      <c r="J434" s="3" t="s">
        <v>60</v>
      </c>
      <c r="L434" s="2" t="s">
        <v>5663</v>
      </c>
      <c r="M434" s="3" t="s">
        <v>1300</v>
      </c>
      <c r="N434" s="2" t="s">
        <v>567</v>
      </c>
      <c r="O434" s="3" t="s">
        <v>64</v>
      </c>
      <c r="P434" s="3" t="s">
        <v>177</v>
      </c>
      <c r="R434" s="3" t="s">
        <v>66</v>
      </c>
      <c r="S434" s="4">
        <v>1</v>
      </c>
      <c r="T434" s="4">
        <v>1</v>
      </c>
      <c r="U434" s="5" t="s">
        <v>5664</v>
      </c>
      <c r="V434" s="5" t="s">
        <v>5664</v>
      </c>
      <c r="W434" s="5" t="s">
        <v>5665</v>
      </c>
      <c r="X434" s="5" t="s">
        <v>5665</v>
      </c>
      <c r="Y434" s="4">
        <v>414</v>
      </c>
      <c r="Z434" s="4">
        <v>330</v>
      </c>
      <c r="AA434" s="4">
        <v>945</v>
      </c>
      <c r="AB434" s="4">
        <v>2</v>
      </c>
      <c r="AC434" s="4">
        <v>10</v>
      </c>
      <c r="AD434" s="4">
        <v>13</v>
      </c>
      <c r="AE434" s="4">
        <v>43</v>
      </c>
      <c r="AF434" s="4">
        <v>7</v>
      </c>
      <c r="AG434" s="4">
        <v>15</v>
      </c>
      <c r="AH434" s="4">
        <v>3</v>
      </c>
      <c r="AI434" s="4">
        <v>9</v>
      </c>
      <c r="AJ434" s="4">
        <v>7</v>
      </c>
      <c r="AK434" s="4">
        <v>17</v>
      </c>
      <c r="AL434" s="4">
        <v>1</v>
      </c>
      <c r="AM434" s="4">
        <v>8</v>
      </c>
      <c r="AN434" s="4">
        <v>0</v>
      </c>
      <c r="AO434" s="4">
        <v>4</v>
      </c>
      <c r="AP434" s="3" t="s">
        <v>58</v>
      </c>
      <c r="AQ434" s="3" t="s">
        <v>58</v>
      </c>
      <c r="AS434" s="6" t="str">
        <f>HYPERLINK("https://creighton-primo.hosted.exlibrisgroup.com/primo-explore/search?tab=default_tab&amp;search_scope=EVERYTHING&amp;vid=01CRU&amp;lang=en_US&amp;offset=0&amp;query=any,contains,991004759669702656","Catalog Record")</f>
        <v>Catalog Record</v>
      </c>
      <c r="AT434" s="6" t="str">
        <f>HYPERLINK("http://www.worldcat.org/oclc/60651096","WorldCat Record")</f>
        <v>WorldCat Record</v>
      </c>
      <c r="AU434" s="3" t="s">
        <v>5666</v>
      </c>
      <c r="AV434" s="3" t="s">
        <v>5667</v>
      </c>
      <c r="AW434" s="3" t="s">
        <v>5668</v>
      </c>
      <c r="AX434" s="3" t="s">
        <v>5668</v>
      </c>
      <c r="AY434" s="3" t="s">
        <v>5669</v>
      </c>
      <c r="AZ434" s="3" t="s">
        <v>73</v>
      </c>
      <c r="BB434" s="3" t="s">
        <v>5670</v>
      </c>
      <c r="BC434" s="3" t="s">
        <v>5671</v>
      </c>
      <c r="BD434" s="3" t="s">
        <v>5672</v>
      </c>
    </row>
    <row r="435" spans="1:56" ht="45" customHeight="1" x14ac:dyDescent="0.25">
      <c r="A435" s="8" t="s">
        <v>58</v>
      </c>
      <c r="B435" s="2" t="s">
        <v>5673</v>
      </c>
      <c r="C435" s="2" t="s">
        <v>5674</v>
      </c>
      <c r="D435" s="2" t="s">
        <v>5675</v>
      </c>
      <c r="F435" s="3" t="s">
        <v>58</v>
      </c>
      <c r="G435" s="3" t="s">
        <v>59</v>
      </c>
      <c r="H435" s="3" t="s">
        <v>58</v>
      </c>
      <c r="I435" s="3" t="s">
        <v>58</v>
      </c>
      <c r="J435" s="3" t="s">
        <v>60</v>
      </c>
      <c r="K435" s="2" t="s">
        <v>5676</v>
      </c>
      <c r="L435" s="2" t="s">
        <v>5677</v>
      </c>
      <c r="M435" s="3" t="s">
        <v>62</v>
      </c>
      <c r="N435" s="2" t="s">
        <v>63</v>
      </c>
      <c r="O435" s="3" t="s">
        <v>64</v>
      </c>
      <c r="P435" s="3" t="s">
        <v>147</v>
      </c>
      <c r="Q435" s="2" t="s">
        <v>5678</v>
      </c>
      <c r="R435" s="3" t="s">
        <v>66</v>
      </c>
      <c r="S435" s="4">
        <v>3</v>
      </c>
      <c r="T435" s="4">
        <v>3</v>
      </c>
      <c r="U435" s="5" t="s">
        <v>5679</v>
      </c>
      <c r="V435" s="5" t="s">
        <v>5679</v>
      </c>
      <c r="W435" s="5" t="s">
        <v>5680</v>
      </c>
      <c r="X435" s="5" t="s">
        <v>5680</v>
      </c>
      <c r="Y435" s="4">
        <v>415</v>
      </c>
      <c r="Z435" s="4">
        <v>340</v>
      </c>
      <c r="AA435" s="4">
        <v>418</v>
      </c>
      <c r="AB435" s="4">
        <v>2</v>
      </c>
      <c r="AC435" s="4">
        <v>3</v>
      </c>
      <c r="AD435" s="4">
        <v>13</v>
      </c>
      <c r="AE435" s="4">
        <v>20</v>
      </c>
      <c r="AF435" s="4">
        <v>8</v>
      </c>
      <c r="AG435" s="4">
        <v>10</v>
      </c>
      <c r="AH435" s="4">
        <v>3</v>
      </c>
      <c r="AI435" s="4">
        <v>3</v>
      </c>
      <c r="AJ435" s="4">
        <v>6</v>
      </c>
      <c r="AK435" s="4">
        <v>10</v>
      </c>
      <c r="AL435" s="4">
        <v>1</v>
      </c>
      <c r="AM435" s="4">
        <v>2</v>
      </c>
      <c r="AN435" s="4">
        <v>0</v>
      </c>
      <c r="AO435" s="4">
        <v>0</v>
      </c>
      <c r="AP435" s="3" t="s">
        <v>58</v>
      </c>
      <c r="AQ435" s="3" t="s">
        <v>58</v>
      </c>
      <c r="AS435" s="6" t="str">
        <f>HYPERLINK("https://creighton-primo.hosted.exlibrisgroup.com/primo-explore/search?tab=default_tab&amp;search_scope=EVERYTHING&amp;vid=01CRU&amp;lang=en_US&amp;offset=0&amp;query=any,contains,991003979979702656","Catalog Record")</f>
        <v>Catalog Record</v>
      </c>
      <c r="AT435" s="6" t="str">
        <f>HYPERLINK("http://www.worldcat.org/oclc/51818817","WorldCat Record")</f>
        <v>WorldCat Record</v>
      </c>
      <c r="AU435" s="3" t="s">
        <v>5681</v>
      </c>
      <c r="AV435" s="3" t="s">
        <v>5682</v>
      </c>
      <c r="AW435" s="3" t="s">
        <v>5683</v>
      </c>
      <c r="AX435" s="3" t="s">
        <v>5683</v>
      </c>
      <c r="AY435" s="3" t="s">
        <v>5684</v>
      </c>
      <c r="AZ435" s="3" t="s">
        <v>73</v>
      </c>
      <c r="BB435" s="3" t="s">
        <v>5685</v>
      </c>
      <c r="BC435" s="3" t="s">
        <v>5686</v>
      </c>
      <c r="BD435" s="3" t="s">
        <v>5687</v>
      </c>
    </row>
    <row r="436" spans="1:56" ht="45" customHeight="1" x14ac:dyDescent="0.25">
      <c r="A436" s="8" t="s">
        <v>58</v>
      </c>
      <c r="B436" s="2" t="s">
        <v>5688</v>
      </c>
      <c r="C436" s="2" t="s">
        <v>5689</v>
      </c>
      <c r="D436" s="2" t="s">
        <v>5690</v>
      </c>
      <c r="F436" s="3" t="s">
        <v>58</v>
      </c>
      <c r="G436" s="3" t="s">
        <v>59</v>
      </c>
      <c r="H436" s="3" t="s">
        <v>58</v>
      </c>
      <c r="I436" s="3" t="s">
        <v>58</v>
      </c>
      <c r="J436" s="3" t="s">
        <v>60</v>
      </c>
      <c r="K436" s="2" t="s">
        <v>5691</v>
      </c>
      <c r="L436" s="2" t="s">
        <v>5692</v>
      </c>
      <c r="M436" s="3" t="s">
        <v>1013</v>
      </c>
      <c r="N436" s="2" t="s">
        <v>567</v>
      </c>
      <c r="O436" s="3" t="s">
        <v>64</v>
      </c>
      <c r="P436" s="3" t="s">
        <v>162</v>
      </c>
      <c r="R436" s="3" t="s">
        <v>66</v>
      </c>
      <c r="S436" s="4">
        <v>13</v>
      </c>
      <c r="T436" s="4">
        <v>13</v>
      </c>
      <c r="U436" s="5" t="s">
        <v>5693</v>
      </c>
      <c r="V436" s="5" t="s">
        <v>5693</v>
      </c>
      <c r="W436" s="5" t="s">
        <v>5694</v>
      </c>
      <c r="X436" s="5" t="s">
        <v>5694</v>
      </c>
      <c r="Y436" s="4">
        <v>792</v>
      </c>
      <c r="Z436" s="4">
        <v>755</v>
      </c>
      <c r="AA436" s="4">
        <v>788</v>
      </c>
      <c r="AB436" s="4">
        <v>6</v>
      </c>
      <c r="AC436" s="4">
        <v>6</v>
      </c>
      <c r="AD436" s="4">
        <v>13</v>
      </c>
      <c r="AE436" s="4">
        <v>15</v>
      </c>
      <c r="AF436" s="4">
        <v>6</v>
      </c>
      <c r="AG436" s="4">
        <v>6</v>
      </c>
      <c r="AH436" s="4">
        <v>2</v>
      </c>
      <c r="AI436" s="4">
        <v>4</v>
      </c>
      <c r="AJ436" s="4">
        <v>5</v>
      </c>
      <c r="AK436" s="4">
        <v>5</v>
      </c>
      <c r="AL436" s="4">
        <v>4</v>
      </c>
      <c r="AM436" s="4">
        <v>4</v>
      </c>
      <c r="AN436" s="4">
        <v>0</v>
      </c>
      <c r="AO436" s="4">
        <v>0</v>
      </c>
      <c r="AP436" s="3" t="s">
        <v>58</v>
      </c>
      <c r="AQ436" s="3" t="s">
        <v>68</v>
      </c>
      <c r="AR436" s="6" t="str">
        <f>HYPERLINK("http://catalog.hathitrust.org/Record/000444175","HathiTrust Record")</f>
        <v>HathiTrust Record</v>
      </c>
      <c r="AS436" s="6" t="str">
        <f>HYPERLINK("https://creighton-primo.hosted.exlibrisgroup.com/primo-explore/search?tab=default_tab&amp;search_scope=EVERYTHING&amp;vid=01CRU&amp;lang=en_US&amp;offset=0&amp;query=any,contains,991000903809702656","Catalog Record")</f>
        <v>Catalog Record</v>
      </c>
      <c r="AT436" s="6" t="str">
        <f>HYPERLINK("http://www.worldcat.org/oclc/14069762","WorldCat Record")</f>
        <v>WorldCat Record</v>
      </c>
      <c r="AU436" s="3" t="s">
        <v>5695</v>
      </c>
      <c r="AV436" s="3" t="s">
        <v>5696</v>
      </c>
      <c r="AW436" s="3" t="s">
        <v>5697</v>
      </c>
      <c r="AX436" s="3" t="s">
        <v>5697</v>
      </c>
      <c r="AY436" s="3" t="s">
        <v>5698</v>
      </c>
      <c r="AZ436" s="3" t="s">
        <v>73</v>
      </c>
      <c r="BB436" s="3" t="s">
        <v>5699</v>
      </c>
      <c r="BC436" s="3" t="s">
        <v>5700</v>
      </c>
      <c r="BD436" s="3" t="s">
        <v>5701</v>
      </c>
    </row>
    <row r="437" spans="1:56" ht="45" customHeight="1" x14ac:dyDescent="0.25">
      <c r="A437" s="8" t="s">
        <v>58</v>
      </c>
      <c r="B437" s="2" t="s">
        <v>5702</v>
      </c>
      <c r="C437" s="2" t="s">
        <v>5703</v>
      </c>
      <c r="D437" s="2" t="s">
        <v>5704</v>
      </c>
      <c r="F437" s="3" t="s">
        <v>58</v>
      </c>
      <c r="G437" s="3" t="s">
        <v>59</v>
      </c>
      <c r="H437" s="3" t="s">
        <v>58</v>
      </c>
      <c r="I437" s="3" t="s">
        <v>58</v>
      </c>
      <c r="J437" s="3" t="s">
        <v>60</v>
      </c>
      <c r="K437" s="2" t="s">
        <v>5705</v>
      </c>
      <c r="L437" s="2" t="s">
        <v>5706</v>
      </c>
      <c r="M437" s="3" t="s">
        <v>494</v>
      </c>
      <c r="O437" s="3" t="s">
        <v>64</v>
      </c>
      <c r="P437" s="3" t="s">
        <v>177</v>
      </c>
      <c r="R437" s="3" t="s">
        <v>66</v>
      </c>
      <c r="S437" s="4">
        <v>16</v>
      </c>
      <c r="T437" s="4">
        <v>16</v>
      </c>
      <c r="U437" s="5" t="s">
        <v>5535</v>
      </c>
      <c r="V437" s="5" t="s">
        <v>5535</v>
      </c>
      <c r="W437" s="5" t="s">
        <v>5707</v>
      </c>
      <c r="X437" s="5" t="s">
        <v>5707</v>
      </c>
      <c r="Y437" s="4">
        <v>919</v>
      </c>
      <c r="Z437" s="4">
        <v>842</v>
      </c>
      <c r="AA437" s="4">
        <v>853</v>
      </c>
      <c r="AB437" s="4">
        <v>6</v>
      </c>
      <c r="AC437" s="4">
        <v>6</v>
      </c>
      <c r="AD437" s="4">
        <v>19</v>
      </c>
      <c r="AE437" s="4">
        <v>19</v>
      </c>
      <c r="AF437" s="4">
        <v>7</v>
      </c>
      <c r="AG437" s="4">
        <v>7</v>
      </c>
      <c r="AH437" s="4">
        <v>5</v>
      </c>
      <c r="AI437" s="4">
        <v>5</v>
      </c>
      <c r="AJ437" s="4">
        <v>8</v>
      </c>
      <c r="AK437" s="4">
        <v>8</v>
      </c>
      <c r="AL437" s="4">
        <v>3</v>
      </c>
      <c r="AM437" s="4">
        <v>3</v>
      </c>
      <c r="AN437" s="4">
        <v>0</v>
      </c>
      <c r="AO437" s="4">
        <v>0</v>
      </c>
      <c r="AP437" s="3" t="s">
        <v>58</v>
      </c>
      <c r="AQ437" s="3" t="s">
        <v>68</v>
      </c>
      <c r="AR437" s="6" t="str">
        <f>HYPERLINK("http://catalog.hathitrust.org/Record/000464596","HathiTrust Record")</f>
        <v>HathiTrust Record</v>
      </c>
      <c r="AS437" s="6" t="str">
        <f>HYPERLINK("https://creighton-primo.hosted.exlibrisgroup.com/primo-explore/search?tab=default_tab&amp;search_scope=EVERYTHING&amp;vid=01CRU&amp;lang=en_US&amp;offset=0&amp;query=any,contains,991000551419702656","Catalog Record")</f>
        <v>Catalog Record</v>
      </c>
      <c r="AT437" s="6" t="str">
        <f>HYPERLINK("http://www.worldcat.org/oclc/11533420","WorldCat Record")</f>
        <v>WorldCat Record</v>
      </c>
      <c r="AU437" s="3" t="s">
        <v>5708</v>
      </c>
      <c r="AV437" s="3" t="s">
        <v>5709</v>
      </c>
      <c r="AW437" s="3" t="s">
        <v>5710</v>
      </c>
      <c r="AX437" s="3" t="s">
        <v>5710</v>
      </c>
      <c r="AY437" s="3" t="s">
        <v>5711</v>
      </c>
      <c r="AZ437" s="3" t="s">
        <v>73</v>
      </c>
      <c r="BB437" s="3" t="s">
        <v>5712</v>
      </c>
      <c r="BC437" s="3" t="s">
        <v>5713</v>
      </c>
      <c r="BD437" s="3" t="s">
        <v>5714</v>
      </c>
    </row>
    <row r="438" spans="1:56" ht="45" customHeight="1" x14ac:dyDescent="0.25">
      <c r="A438" s="8" t="s">
        <v>58</v>
      </c>
      <c r="B438" s="2" t="s">
        <v>5715</v>
      </c>
      <c r="C438" s="2" t="s">
        <v>5716</v>
      </c>
      <c r="D438" s="2" t="s">
        <v>5717</v>
      </c>
      <c r="F438" s="3" t="s">
        <v>58</v>
      </c>
      <c r="G438" s="3" t="s">
        <v>59</v>
      </c>
      <c r="H438" s="3" t="s">
        <v>58</v>
      </c>
      <c r="I438" s="3" t="s">
        <v>58</v>
      </c>
      <c r="J438" s="3" t="s">
        <v>60</v>
      </c>
      <c r="L438" s="2" t="s">
        <v>5718</v>
      </c>
      <c r="M438" s="3" t="s">
        <v>580</v>
      </c>
      <c r="O438" s="3" t="s">
        <v>64</v>
      </c>
      <c r="P438" s="3" t="s">
        <v>452</v>
      </c>
      <c r="R438" s="3" t="s">
        <v>66</v>
      </c>
      <c r="S438" s="4">
        <v>26</v>
      </c>
      <c r="T438" s="4">
        <v>26</v>
      </c>
      <c r="U438" s="5" t="s">
        <v>5719</v>
      </c>
      <c r="V438" s="5" t="s">
        <v>5719</v>
      </c>
      <c r="W438" s="5" t="s">
        <v>1717</v>
      </c>
      <c r="X438" s="5" t="s">
        <v>1717</v>
      </c>
      <c r="Y438" s="4">
        <v>486</v>
      </c>
      <c r="Z438" s="4">
        <v>459</v>
      </c>
      <c r="AA438" s="4">
        <v>482</v>
      </c>
      <c r="AB438" s="4">
        <v>5</v>
      </c>
      <c r="AC438" s="4">
        <v>5</v>
      </c>
      <c r="AD438" s="4">
        <v>12</v>
      </c>
      <c r="AE438" s="4">
        <v>12</v>
      </c>
      <c r="AF438" s="4">
        <v>5</v>
      </c>
      <c r="AG438" s="4">
        <v>5</v>
      </c>
      <c r="AH438" s="4">
        <v>1</v>
      </c>
      <c r="AI438" s="4">
        <v>1</v>
      </c>
      <c r="AJ438" s="4">
        <v>5</v>
      </c>
      <c r="AK438" s="4">
        <v>5</v>
      </c>
      <c r="AL438" s="4">
        <v>3</v>
      </c>
      <c r="AM438" s="4">
        <v>3</v>
      </c>
      <c r="AN438" s="4">
        <v>0</v>
      </c>
      <c r="AO438" s="4">
        <v>0</v>
      </c>
      <c r="AP438" s="3" t="s">
        <v>58</v>
      </c>
      <c r="AQ438" s="3" t="s">
        <v>58</v>
      </c>
      <c r="AS438" s="6" t="str">
        <f>HYPERLINK("https://creighton-primo.hosted.exlibrisgroup.com/primo-explore/search?tab=default_tab&amp;search_scope=EVERYTHING&amp;vid=01CRU&amp;lang=en_US&amp;offset=0&amp;query=any,contains,991001229659702656","Catalog Record")</f>
        <v>Catalog Record</v>
      </c>
      <c r="AT438" s="6" t="str">
        <f>HYPERLINK("http://www.worldcat.org/oclc/17533163","WorldCat Record")</f>
        <v>WorldCat Record</v>
      </c>
      <c r="AU438" s="3" t="s">
        <v>5720</v>
      </c>
      <c r="AV438" s="3" t="s">
        <v>5721</v>
      </c>
      <c r="AW438" s="3" t="s">
        <v>5722</v>
      </c>
      <c r="AX438" s="3" t="s">
        <v>5722</v>
      </c>
      <c r="AY438" s="3" t="s">
        <v>5723</v>
      </c>
      <c r="AZ438" s="3" t="s">
        <v>73</v>
      </c>
      <c r="BB438" s="3" t="s">
        <v>5724</v>
      </c>
      <c r="BC438" s="3" t="s">
        <v>5725</v>
      </c>
      <c r="BD438" s="3" t="s">
        <v>5726</v>
      </c>
    </row>
    <row r="439" spans="1:56" ht="45" customHeight="1" x14ac:dyDescent="0.25">
      <c r="A439" s="8" t="s">
        <v>58</v>
      </c>
      <c r="B439" s="2" t="s">
        <v>5727</v>
      </c>
      <c r="C439" s="2" t="s">
        <v>5728</v>
      </c>
      <c r="D439" s="2" t="s">
        <v>5729</v>
      </c>
      <c r="F439" s="3" t="s">
        <v>58</v>
      </c>
      <c r="G439" s="3" t="s">
        <v>59</v>
      </c>
      <c r="H439" s="3" t="s">
        <v>58</v>
      </c>
      <c r="I439" s="3" t="s">
        <v>58</v>
      </c>
      <c r="J439" s="3" t="s">
        <v>60</v>
      </c>
      <c r="L439" s="2" t="s">
        <v>5730</v>
      </c>
      <c r="M439" s="3" t="s">
        <v>538</v>
      </c>
      <c r="O439" s="3" t="s">
        <v>64</v>
      </c>
      <c r="P439" s="3" t="s">
        <v>3834</v>
      </c>
      <c r="R439" s="3" t="s">
        <v>66</v>
      </c>
      <c r="S439" s="4">
        <v>30</v>
      </c>
      <c r="T439" s="4">
        <v>30</v>
      </c>
      <c r="U439" s="5" t="s">
        <v>5679</v>
      </c>
      <c r="V439" s="5" t="s">
        <v>5679</v>
      </c>
      <c r="W439" s="5" t="s">
        <v>5731</v>
      </c>
      <c r="X439" s="5" t="s">
        <v>5731</v>
      </c>
      <c r="Y439" s="4">
        <v>41</v>
      </c>
      <c r="Z439" s="4">
        <v>36</v>
      </c>
      <c r="AA439" s="4">
        <v>181</v>
      </c>
      <c r="AB439" s="4">
        <v>2</v>
      </c>
      <c r="AC439" s="4">
        <v>3</v>
      </c>
      <c r="AD439" s="4">
        <v>1</v>
      </c>
      <c r="AE439" s="4">
        <v>11</v>
      </c>
      <c r="AF439" s="4">
        <v>0</v>
      </c>
      <c r="AG439" s="4">
        <v>3</v>
      </c>
      <c r="AH439" s="4">
        <v>0</v>
      </c>
      <c r="AI439" s="4">
        <v>2</v>
      </c>
      <c r="AJ439" s="4">
        <v>0</v>
      </c>
      <c r="AK439" s="4">
        <v>8</v>
      </c>
      <c r="AL439" s="4">
        <v>1</v>
      </c>
      <c r="AM439" s="4">
        <v>2</v>
      </c>
      <c r="AN439" s="4">
        <v>0</v>
      </c>
      <c r="AO439" s="4">
        <v>0</v>
      </c>
      <c r="AP439" s="3" t="s">
        <v>58</v>
      </c>
      <c r="AQ439" s="3" t="s">
        <v>58</v>
      </c>
      <c r="AS439" s="6" t="str">
        <f>HYPERLINK("https://creighton-primo.hosted.exlibrisgroup.com/primo-explore/search?tab=default_tab&amp;search_scope=EVERYTHING&amp;vid=01CRU&amp;lang=en_US&amp;offset=0&amp;query=any,contains,991001749169702656","Catalog Record")</f>
        <v>Catalog Record</v>
      </c>
      <c r="AT439" s="6" t="str">
        <f>HYPERLINK("http://www.worldcat.org/oclc/22162780","WorldCat Record")</f>
        <v>WorldCat Record</v>
      </c>
      <c r="AU439" s="3" t="s">
        <v>5732</v>
      </c>
      <c r="AV439" s="3" t="s">
        <v>5733</v>
      </c>
      <c r="AW439" s="3" t="s">
        <v>5734</v>
      </c>
      <c r="AX439" s="3" t="s">
        <v>5734</v>
      </c>
      <c r="AY439" s="3" t="s">
        <v>5735</v>
      </c>
      <c r="AZ439" s="3" t="s">
        <v>73</v>
      </c>
      <c r="BB439" s="3" t="s">
        <v>5736</v>
      </c>
      <c r="BC439" s="3" t="s">
        <v>5737</v>
      </c>
      <c r="BD439" s="3" t="s">
        <v>5738</v>
      </c>
    </row>
    <row r="440" spans="1:56" ht="45" customHeight="1" x14ac:dyDescent="0.25">
      <c r="A440" s="8" t="s">
        <v>58</v>
      </c>
      <c r="B440" s="2" t="s">
        <v>5739</v>
      </c>
      <c r="C440" s="2" t="s">
        <v>5740</v>
      </c>
      <c r="D440" s="2" t="s">
        <v>5741</v>
      </c>
      <c r="F440" s="3" t="s">
        <v>58</v>
      </c>
      <c r="G440" s="3" t="s">
        <v>59</v>
      </c>
      <c r="H440" s="3" t="s">
        <v>68</v>
      </c>
      <c r="I440" s="3" t="s">
        <v>58</v>
      </c>
      <c r="J440" s="3" t="s">
        <v>60</v>
      </c>
      <c r="L440" s="2" t="s">
        <v>5742</v>
      </c>
      <c r="M440" s="3" t="s">
        <v>378</v>
      </c>
      <c r="O440" s="3" t="s">
        <v>64</v>
      </c>
      <c r="P440" s="3" t="s">
        <v>422</v>
      </c>
      <c r="R440" s="3" t="s">
        <v>66</v>
      </c>
      <c r="S440" s="4">
        <v>16</v>
      </c>
      <c r="T440" s="4">
        <v>21</v>
      </c>
      <c r="U440" s="5" t="s">
        <v>5743</v>
      </c>
      <c r="V440" s="5" t="s">
        <v>5743</v>
      </c>
      <c r="W440" s="5" t="s">
        <v>1913</v>
      </c>
      <c r="X440" s="5" t="s">
        <v>1913</v>
      </c>
      <c r="Y440" s="4">
        <v>314</v>
      </c>
      <c r="Z440" s="4">
        <v>248</v>
      </c>
      <c r="AA440" s="4">
        <v>255</v>
      </c>
      <c r="AB440" s="4">
        <v>3</v>
      </c>
      <c r="AC440" s="4">
        <v>3</v>
      </c>
      <c r="AD440" s="4">
        <v>10</v>
      </c>
      <c r="AE440" s="4">
        <v>10</v>
      </c>
      <c r="AF440" s="4">
        <v>3</v>
      </c>
      <c r="AG440" s="4">
        <v>3</v>
      </c>
      <c r="AH440" s="4">
        <v>3</v>
      </c>
      <c r="AI440" s="4">
        <v>3</v>
      </c>
      <c r="AJ440" s="4">
        <v>8</v>
      </c>
      <c r="AK440" s="4">
        <v>8</v>
      </c>
      <c r="AL440" s="4">
        <v>1</v>
      </c>
      <c r="AM440" s="4">
        <v>1</v>
      </c>
      <c r="AN440" s="4">
        <v>0</v>
      </c>
      <c r="AO440" s="4">
        <v>0</v>
      </c>
      <c r="AP440" s="3" t="s">
        <v>58</v>
      </c>
      <c r="AQ440" s="3" t="s">
        <v>68</v>
      </c>
      <c r="AR440" s="6" t="str">
        <f>HYPERLINK("http://catalog.hathitrust.org/Record/000780452","HathiTrust Record")</f>
        <v>HathiTrust Record</v>
      </c>
      <c r="AS440" s="6" t="str">
        <f>HYPERLINK("https://creighton-primo.hosted.exlibrisgroup.com/primo-explore/search?tab=default_tab&amp;search_scope=EVERYTHING&amp;vid=01CRU&amp;lang=en_US&amp;offset=0&amp;query=any,contains,991001767299702656","Catalog Record")</f>
        <v>Catalog Record</v>
      </c>
      <c r="AT440" s="6" t="str">
        <f>HYPERLINK("http://www.worldcat.org/oclc/10162928","WorldCat Record")</f>
        <v>WorldCat Record</v>
      </c>
      <c r="AU440" s="3" t="s">
        <v>5744</v>
      </c>
      <c r="AV440" s="3" t="s">
        <v>5745</v>
      </c>
      <c r="AW440" s="3" t="s">
        <v>5746</v>
      </c>
      <c r="AX440" s="3" t="s">
        <v>5746</v>
      </c>
      <c r="AY440" s="3" t="s">
        <v>5747</v>
      </c>
      <c r="AZ440" s="3" t="s">
        <v>73</v>
      </c>
      <c r="BB440" s="3" t="s">
        <v>5748</v>
      </c>
      <c r="BC440" s="3" t="s">
        <v>5749</v>
      </c>
      <c r="BD440" s="3" t="s">
        <v>5750</v>
      </c>
    </row>
    <row r="441" spans="1:56" ht="45" customHeight="1" x14ac:dyDescent="0.25">
      <c r="A441" s="8" t="s">
        <v>58</v>
      </c>
      <c r="B441" s="2" t="s">
        <v>5751</v>
      </c>
      <c r="C441" s="2" t="s">
        <v>5752</v>
      </c>
      <c r="D441" s="2" t="s">
        <v>5753</v>
      </c>
      <c r="F441" s="3" t="s">
        <v>58</v>
      </c>
      <c r="G441" s="3" t="s">
        <v>59</v>
      </c>
      <c r="H441" s="3" t="s">
        <v>58</v>
      </c>
      <c r="I441" s="3" t="s">
        <v>58</v>
      </c>
      <c r="J441" s="3" t="s">
        <v>60</v>
      </c>
      <c r="K441" s="2" t="s">
        <v>5754</v>
      </c>
      <c r="L441" s="2" t="s">
        <v>5663</v>
      </c>
      <c r="M441" s="3" t="s">
        <v>1300</v>
      </c>
      <c r="O441" s="3" t="s">
        <v>64</v>
      </c>
      <c r="P441" s="3" t="s">
        <v>177</v>
      </c>
      <c r="R441" s="3" t="s">
        <v>66</v>
      </c>
      <c r="S441" s="4">
        <v>2</v>
      </c>
      <c r="T441" s="4">
        <v>2</v>
      </c>
      <c r="U441" s="5" t="s">
        <v>3280</v>
      </c>
      <c r="V441" s="5" t="s">
        <v>3280</v>
      </c>
      <c r="W441" s="5" t="s">
        <v>5755</v>
      </c>
      <c r="X441" s="5" t="s">
        <v>5755</v>
      </c>
      <c r="Y441" s="4">
        <v>307</v>
      </c>
      <c r="Z441" s="4">
        <v>246</v>
      </c>
      <c r="AA441" s="4">
        <v>273</v>
      </c>
      <c r="AB441" s="4">
        <v>3</v>
      </c>
      <c r="AC441" s="4">
        <v>3</v>
      </c>
      <c r="AD441" s="4">
        <v>12</v>
      </c>
      <c r="AE441" s="4">
        <v>12</v>
      </c>
      <c r="AF441" s="4">
        <v>5</v>
      </c>
      <c r="AG441" s="4">
        <v>5</v>
      </c>
      <c r="AH441" s="4">
        <v>1</v>
      </c>
      <c r="AI441" s="4">
        <v>1</v>
      </c>
      <c r="AJ441" s="4">
        <v>5</v>
      </c>
      <c r="AK441" s="4">
        <v>5</v>
      </c>
      <c r="AL441" s="4">
        <v>2</v>
      </c>
      <c r="AM441" s="4">
        <v>2</v>
      </c>
      <c r="AN441" s="4">
        <v>1</v>
      </c>
      <c r="AO441" s="4">
        <v>1</v>
      </c>
      <c r="AP441" s="3" t="s">
        <v>58</v>
      </c>
      <c r="AQ441" s="3" t="s">
        <v>68</v>
      </c>
      <c r="AR441" s="6" t="str">
        <f>HYPERLINK("http://catalog.hathitrust.org/Record/005266534","HathiTrust Record")</f>
        <v>HathiTrust Record</v>
      </c>
      <c r="AS441" s="6" t="str">
        <f>HYPERLINK("https://creighton-primo.hosted.exlibrisgroup.com/primo-explore/search?tab=default_tab&amp;search_scope=EVERYTHING&amp;vid=01CRU&amp;lang=en_US&amp;offset=0&amp;query=any,contains,991005199839702656","Catalog Record")</f>
        <v>Catalog Record</v>
      </c>
      <c r="AT441" s="6" t="str">
        <f>HYPERLINK("http://www.worldcat.org/oclc/68705619","WorldCat Record")</f>
        <v>WorldCat Record</v>
      </c>
      <c r="AU441" s="3" t="s">
        <v>5756</v>
      </c>
      <c r="AV441" s="3" t="s">
        <v>5757</v>
      </c>
      <c r="AW441" s="3" t="s">
        <v>5758</v>
      </c>
      <c r="AX441" s="3" t="s">
        <v>5758</v>
      </c>
      <c r="AY441" s="3" t="s">
        <v>5759</v>
      </c>
      <c r="AZ441" s="3" t="s">
        <v>73</v>
      </c>
      <c r="BB441" s="3" t="s">
        <v>5760</v>
      </c>
      <c r="BC441" s="3" t="s">
        <v>5761</v>
      </c>
      <c r="BD441" s="3" t="s">
        <v>5762</v>
      </c>
    </row>
    <row r="442" spans="1:56" ht="45" customHeight="1" x14ac:dyDescent="0.25">
      <c r="A442" s="8" t="s">
        <v>58</v>
      </c>
      <c r="B442" s="2" t="s">
        <v>5763</v>
      </c>
      <c r="C442" s="2" t="s">
        <v>5764</v>
      </c>
      <c r="D442" s="2" t="s">
        <v>5765</v>
      </c>
      <c r="F442" s="3" t="s">
        <v>58</v>
      </c>
      <c r="G442" s="3" t="s">
        <v>59</v>
      </c>
      <c r="H442" s="3" t="s">
        <v>58</v>
      </c>
      <c r="I442" s="3" t="s">
        <v>58</v>
      </c>
      <c r="J442" s="3" t="s">
        <v>60</v>
      </c>
      <c r="K442" s="2" t="s">
        <v>5766</v>
      </c>
      <c r="L442" s="2" t="s">
        <v>5521</v>
      </c>
      <c r="M442" s="3" t="s">
        <v>1451</v>
      </c>
      <c r="O442" s="3" t="s">
        <v>64</v>
      </c>
      <c r="P442" s="3" t="s">
        <v>177</v>
      </c>
      <c r="R442" s="3" t="s">
        <v>66</v>
      </c>
      <c r="S442" s="4">
        <v>1</v>
      </c>
      <c r="T442" s="4">
        <v>1</v>
      </c>
      <c r="U442" s="5" t="s">
        <v>3280</v>
      </c>
      <c r="V442" s="5" t="s">
        <v>3280</v>
      </c>
      <c r="W442" s="5" t="s">
        <v>5767</v>
      </c>
      <c r="X442" s="5" t="s">
        <v>5767</v>
      </c>
      <c r="Y442" s="4">
        <v>645</v>
      </c>
      <c r="Z442" s="4">
        <v>560</v>
      </c>
      <c r="AA442" s="4">
        <v>561</v>
      </c>
      <c r="AB442" s="4">
        <v>4</v>
      </c>
      <c r="AC442" s="4">
        <v>4</v>
      </c>
      <c r="AD442" s="4">
        <v>25</v>
      </c>
      <c r="AE442" s="4">
        <v>25</v>
      </c>
      <c r="AF442" s="4">
        <v>8</v>
      </c>
      <c r="AG442" s="4">
        <v>8</v>
      </c>
      <c r="AH442" s="4">
        <v>6</v>
      </c>
      <c r="AI442" s="4">
        <v>6</v>
      </c>
      <c r="AJ442" s="4">
        <v>14</v>
      </c>
      <c r="AK442" s="4">
        <v>14</v>
      </c>
      <c r="AL442" s="4">
        <v>3</v>
      </c>
      <c r="AM442" s="4">
        <v>3</v>
      </c>
      <c r="AN442" s="4">
        <v>0</v>
      </c>
      <c r="AO442" s="4">
        <v>0</v>
      </c>
      <c r="AP442" s="3" t="s">
        <v>58</v>
      </c>
      <c r="AQ442" s="3" t="s">
        <v>58</v>
      </c>
      <c r="AS442" s="6" t="str">
        <f>HYPERLINK("https://creighton-primo.hosted.exlibrisgroup.com/primo-explore/search?tab=default_tab&amp;search_scope=EVERYTHING&amp;vid=01CRU&amp;lang=en_US&amp;offset=0&amp;query=any,contains,991002921089702656","Catalog Record")</f>
        <v>Catalog Record</v>
      </c>
      <c r="AT442" s="6" t="str">
        <f>HYPERLINK("http://www.worldcat.org/oclc/38752982","WorldCat Record")</f>
        <v>WorldCat Record</v>
      </c>
      <c r="AU442" s="3" t="s">
        <v>5768</v>
      </c>
      <c r="AV442" s="3" t="s">
        <v>5769</v>
      </c>
      <c r="AW442" s="3" t="s">
        <v>5770</v>
      </c>
      <c r="AX442" s="3" t="s">
        <v>5770</v>
      </c>
      <c r="AY442" s="3" t="s">
        <v>5771</v>
      </c>
      <c r="AZ442" s="3" t="s">
        <v>73</v>
      </c>
      <c r="BB442" s="3" t="s">
        <v>5772</v>
      </c>
      <c r="BC442" s="3" t="s">
        <v>5773</v>
      </c>
      <c r="BD442" s="3" t="s">
        <v>5774</v>
      </c>
    </row>
    <row r="443" spans="1:56" ht="45" customHeight="1" x14ac:dyDescent="0.25">
      <c r="A443" s="8" t="s">
        <v>58</v>
      </c>
      <c r="B443" s="2" t="s">
        <v>5775</v>
      </c>
      <c r="C443" s="2" t="s">
        <v>5776</v>
      </c>
      <c r="D443" s="2" t="s">
        <v>5777</v>
      </c>
      <c r="F443" s="3" t="s">
        <v>58</v>
      </c>
      <c r="G443" s="3" t="s">
        <v>59</v>
      </c>
      <c r="H443" s="3" t="s">
        <v>58</v>
      </c>
      <c r="I443" s="3" t="s">
        <v>58</v>
      </c>
      <c r="J443" s="3" t="s">
        <v>60</v>
      </c>
      <c r="K443" s="2" t="s">
        <v>5778</v>
      </c>
      <c r="L443" s="2" t="s">
        <v>5779</v>
      </c>
      <c r="M443" s="3" t="s">
        <v>219</v>
      </c>
      <c r="O443" s="3" t="s">
        <v>64</v>
      </c>
      <c r="P443" s="3" t="s">
        <v>177</v>
      </c>
      <c r="R443" s="3" t="s">
        <v>66</v>
      </c>
      <c r="S443" s="4">
        <v>2</v>
      </c>
      <c r="T443" s="4">
        <v>2</v>
      </c>
      <c r="U443" s="5" t="s">
        <v>5780</v>
      </c>
      <c r="V443" s="5" t="s">
        <v>5780</v>
      </c>
      <c r="W443" s="5" t="s">
        <v>5781</v>
      </c>
      <c r="X443" s="5" t="s">
        <v>5781</v>
      </c>
      <c r="Y443" s="4">
        <v>513</v>
      </c>
      <c r="Z443" s="4">
        <v>443</v>
      </c>
      <c r="AA443" s="4">
        <v>445</v>
      </c>
      <c r="AB443" s="4">
        <v>2</v>
      </c>
      <c r="AC443" s="4">
        <v>2</v>
      </c>
      <c r="AD443" s="4">
        <v>23</v>
      </c>
      <c r="AE443" s="4">
        <v>23</v>
      </c>
      <c r="AF443" s="4">
        <v>9</v>
      </c>
      <c r="AG443" s="4">
        <v>9</v>
      </c>
      <c r="AH443" s="4">
        <v>6</v>
      </c>
      <c r="AI443" s="4">
        <v>6</v>
      </c>
      <c r="AJ443" s="4">
        <v>14</v>
      </c>
      <c r="AK443" s="4">
        <v>14</v>
      </c>
      <c r="AL443" s="4">
        <v>1</v>
      </c>
      <c r="AM443" s="4">
        <v>1</v>
      </c>
      <c r="AN443" s="4">
        <v>0</v>
      </c>
      <c r="AO443" s="4">
        <v>0</v>
      </c>
      <c r="AP443" s="3" t="s">
        <v>58</v>
      </c>
      <c r="AQ443" s="3" t="s">
        <v>68</v>
      </c>
      <c r="AR443" s="6" t="str">
        <f>HYPERLINK("http://catalog.hathitrust.org/Record/002485823","HathiTrust Record")</f>
        <v>HathiTrust Record</v>
      </c>
      <c r="AS443" s="6" t="str">
        <f>HYPERLINK("https://creighton-primo.hosted.exlibrisgroup.com/primo-explore/search?tab=default_tab&amp;search_scope=EVERYTHING&amp;vid=01CRU&amp;lang=en_US&amp;offset=0&amp;query=any,contains,991001872069702656","Catalog Record")</f>
        <v>Catalog Record</v>
      </c>
      <c r="AT443" s="6" t="str">
        <f>HYPERLINK("http://www.worldcat.org/oclc/23649431","WorldCat Record")</f>
        <v>WorldCat Record</v>
      </c>
      <c r="AU443" s="3" t="s">
        <v>5782</v>
      </c>
      <c r="AV443" s="3" t="s">
        <v>5783</v>
      </c>
      <c r="AW443" s="3" t="s">
        <v>5784</v>
      </c>
      <c r="AX443" s="3" t="s">
        <v>5784</v>
      </c>
      <c r="AY443" s="3" t="s">
        <v>5785</v>
      </c>
      <c r="AZ443" s="3" t="s">
        <v>73</v>
      </c>
      <c r="BB443" s="3" t="s">
        <v>5786</v>
      </c>
      <c r="BC443" s="3" t="s">
        <v>5787</v>
      </c>
      <c r="BD443" s="3" t="s">
        <v>5788</v>
      </c>
    </row>
    <row r="444" spans="1:56" ht="45" customHeight="1" x14ac:dyDescent="0.25">
      <c r="A444" s="8" t="s">
        <v>58</v>
      </c>
      <c r="B444" s="2" t="s">
        <v>5789</v>
      </c>
      <c r="C444" s="2" t="s">
        <v>5790</v>
      </c>
      <c r="D444" s="2" t="s">
        <v>5791</v>
      </c>
      <c r="F444" s="3" t="s">
        <v>58</v>
      </c>
      <c r="G444" s="3" t="s">
        <v>59</v>
      </c>
      <c r="H444" s="3" t="s">
        <v>58</v>
      </c>
      <c r="I444" s="3" t="s">
        <v>58</v>
      </c>
      <c r="J444" s="3" t="s">
        <v>60</v>
      </c>
      <c r="K444" s="2" t="s">
        <v>5792</v>
      </c>
      <c r="L444" s="2" t="s">
        <v>5793</v>
      </c>
      <c r="M444" s="3" t="s">
        <v>1166</v>
      </c>
      <c r="N444" s="2" t="s">
        <v>63</v>
      </c>
      <c r="O444" s="3" t="s">
        <v>64</v>
      </c>
      <c r="P444" s="3" t="s">
        <v>162</v>
      </c>
      <c r="R444" s="3" t="s">
        <v>66</v>
      </c>
      <c r="S444" s="4">
        <v>6</v>
      </c>
      <c r="T444" s="4">
        <v>6</v>
      </c>
      <c r="U444" s="5" t="s">
        <v>5794</v>
      </c>
      <c r="V444" s="5" t="s">
        <v>5794</v>
      </c>
      <c r="W444" s="5" t="s">
        <v>5795</v>
      </c>
      <c r="X444" s="5" t="s">
        <v>5795</v>
      </c>
      <c r="Y444" s="4">
        <v>82</v>
      </c>
      <c r="Z444" s="4">
        <v>77</v>
      </c>
      <c r="AA444" s="4">
        <v>82</v>
      </c>
      <c r="AB444" s="4">
        <v>2</v>
      </c>
      <c r="AC444" s="4">
        <v>2</v>
      </c>
      <c r="AD444" s="4">
        <v>2</v>
      </c>
      <c r="AE444" s="4">
        <v>2</v>
      </c>
      <c r="AF444" s="4">
        <v>1</v>
      </c>
      <c r="AG444" s="4">
        <v>1</v>
      </c>
      <c r="AH444" s="4">
        <v>0</v>
      </c>
      <c r="AI444" s="4">
        <v>0</v>
      </c>
      <c r="AJ444" s="4">
        <v>1</v>
      </c>
      <c r="AK444" s="4">
        <v>1</v>
      </c>
      <c r="AL444" s="4">
        <v>1</v>
      </c>
      <c r="AM444" s="4">
        <v>1</v>
      </c>
      <c r="AN444" s="4">
        <v>0</v>
      </c>
      <c r="AO444" s="4">
        <v>0</v>
      </c>
      <c r="AP444" s="3" t="s">
        <v>58</v>
      </c>
      <c r="AQ444" s="3" t="s">
        <v>58</v>
      </c>
      <c r="AS444" s="6" t="str">
        <f>HYPERLINK("https://creighton-primo.hosted.exlibrisgroup.com/primo-explore/search?tab=default_tab&amp;search_scope=EVERYTHING&amp;vid=01CRU&amp;lang=en_US&amp;offset=0&amp;query=any,contains,991002430719702656","Catalog Record")</f>
        <v>Catalog Record</v>
      </c>
      <c r="AT444" s="6" t="str">
        <f>HYPERLINK("http://www.worldcat.org/oclc/31707558","WorldCat Record")</f>
        <v>WorldCat Record</v>
      </c>
      <c r="AU444" s="3" t="s">
        <v>5796</v>
      </c>
      <c r="AV444" s="3" t="s">
        <v>5797</v>
      </c>
      <c r="AW444" s="3" t="s">
        <v>5798</v>
      </c>
      <c r="AX444" s="3" t="s">
        <v>5798</v>
      </c>
      <c r="AY444" s="3" t="s">
        <v>5799</v>
      </c>
      <c r="AZ444" s="3" t="s">
        <v>73</v>
      </c>
      <c r="BB444" s="3" t="s">
        <v>5800</v>
      </c>
      <c r="BC444" s="3" t="s">
        <v>5801</v>
      </c>
      <c r="BD444" s="3" t="s">
        <v>5802</v>
      </c>
    </row>
    <row r="445" spans="1:56" ht="45" customHeight="1" x14ac:dyDescent="0.25">
      <c r="A445" s="8" t="s">
        <v>58</v>
      </c>
      <c r="B445" s="2" t="s">
        <v>5803</v>
      </c>
      <c r="C445" s="2" t="s">
        <v>5804</v>
      </c>
      <c r="D445" s="2" t="s">
        <v>5805</v>
      </c>
      <c r="F445" s="3" t="s">
        <v>58</v>
      </c>
      <c r="G445" s="3" t="s">
        <v>59</v>
      </c>
      <c r="H445" s="3" t="s">
        <v>58</v>
      </c>
      <c r="I445" s="3" t="s">
        <v>58</v>
      </c>
      <c r="J445" s="3" t="s">
        <v>60</v>
      </c>
      <c r="L445" s="2" t="s">
        <v>5806</v>
      </c>
      <c r="M445" s="3" t="s">
        <v>580</v>
      </c>
      <c r="O445" s="3" t="s">
        <v>64</v>
      </c>
      <c r="P445" s="3" t="s">
        <v>250</v>
      </c>
      <c r="Q445" s="2" t="s">
        <v>5807</v>
      </c>
      <c r="R445" s="3" t="s">
        <v>66</v>
      </c>
      <c r="S445" s="4">
        <v>18</v>
      </c>
      <c r="T445" s="4">
        <v>18</v>
      </c>
      <c r="U445" s="5" t="s">
        <v>5808</v>
      </c>
      <c r="V445" s="5" t="s">
        <v>5808</v>
      </c>
      <c r="W445" s="5" t="s">
        <v>5809</v>
      </c>
      <c r="X445" s="5" t="s">
        <v>5809</v>
      </c>
      <c r="Y445" s="4">
        <v>342</v>
      </c>
      <c r="Z445" s="4">
        <v>261</v>
      </c>
      <c r="AA445" s="4">
        <v>284</v>
      </c>
      <c r="AB445" s="4">
        <v>3</v>
      </c>
      <c r="AC445" s="4">
        <v>3</v>
      </c>
      <c r="AD445" s="4">
        <v>13</v>
      </c>
      <c r="AE445" s="4">
        <v>13</v>
      </c>
      <c r="AF445" s="4">
        <v>2</v>
      </c>
      <c r="AG445" s="4">
        <v>2</v>
      </c>
      <c r="AH445" s="4">
        <v>4</v>
      </c>
      <c r="AI445" s="4">
        <v>4</v>
      </c>
      <c r="AJ445" s="4">
        <v>9</v>
      </c>
      <c r="AK445" s="4">
        <v>9</v>
      </c>
      <c r="AL445" s="4">
        <v>2</v>
      </c>
      <c r="AM445" s="4">
        <v>2</v>
      </c>
      <c r="AN445" s="4">
        <v>0</v>
      </c>
      <c r="AO445" s="4">
        <v>0</v>
      </c>
      <c r="AP445" s="3" t="s">
        <v>58</v>
      </c>
      <c r="AQ445" s="3" t="s">
        <v>58</v>
      </c>
      <c r="AS445" s="6" t="str">
        <f>HYPERLINK("https://creighton-primo.hosted.exlibrisgroup.com/primo-explore/search?tab=default_tab&amp;search_scope=EVERYTHING&amp;vid=01CRU&amp;lang=en_US&amp;offset=0&amp;query=any,contains,991000972389702656","Catalog Record")</f>
        <v>Catalog Record</v>
      </c>
      <c r="AT445" s="6" t="str">
        <f>HYPERLINK("http://www.worldcat.org/oclc/14965656","WorldCat Record")</f>
        <v>WorldCat Record</v>
      </c>
      <c r="AU445" s="3" t="s">
        <v>5810</v>
      </c>
      <c r="AV445" s="3" t="s">
        <v>5811</v>
      </c>
      <c r="AW445" s="3" t="s">
        <v>5812</v>
      </c>
      <c r="AX445" s="3" t="s">
        <v>5812</v>
      </c>
      <c r="AY445" s="3" t="s">
        <v>5813</v>
      </c>
      <c r="AZ445" s="3" t="s">
        <v>73</v>
      </c>
      <c r="BB445" s="3" t="s">
        <v>5814</v>
      </c>
      <c r="BC445" s="3" t="s">
        <v>5815</v>
      </c>
      <c r="BD445" s="3" t="s">
        <v>5816</v>
      </c>
    </row>
    <row r="446" spans="1:56" ht="45" customHeight="1" x14ac:dyDescent="0.25">
      <c r="A446" s="8" t="s">
        <v>58</v>
      </c>
      <c r="B446" s="2" t="s">
        <v>5817</v>
      </c>
      <c r="C446" s="2" t="s">
        <v>5818</v>
      </c>
      <c r="D446" s="2" t="s">
        <v>5819</v>
      </c>
      <c r="F446" s="3" t="s">
        <v>58</v>
      </c>
      <c r="G446" s="3" t="s">
        <v>59</v>
      </c>
      <c r="H446" s="3" t="s">
        <v>58</v>
      </c>
      <c r="I446" s="3" t="s">
        <v>58</v>
      </c>
      <c r="J446" s="3" t="s">
        <v>60</v>
      </c>
      <c r="L446" s="2" t="s">
        <v>5820</v>
      </c>
      <c r="M446" s="3" t="s">
        <v>176</v>
      </c>
      <c r="O446" s="3" t="s">
        <v>64</v>
      </c>
      <c r="P446" s="3" t="s">
        <v>177</v>
      </c>
      <c r="Q446" s="2" t="s">
        <v>5821</v>
      </c>
      <c r="R446" s="3" t="s">
        <v>66</v>
      </c>
      <c r="S446" s="4">
        <v>20</v>
      </c>
      <c r="T446" s="4">
        <v>20</v>
      </c>
      <c r="U446" s="5" t="s">
        <v>5458</v>
      </c>
      <c r="V446" s="5" t="s">
        <v>5458</v>
      </c>
      <c r="W446" s="5" t="s">
        <v>5822</v>
      </c>
      <c r="X446" s="5" t="s">
        <v>5822</v>
      </c>
      <c r="Y446" s="4">
        <v>357</v>
      </c>
      <c r="Z446" s="4">
        <v>264</v>
      </c>
      <c r="AA446" s="4">
        <v>285</v>
      </c>
      <c r="AB446" s="4">
        <v>2</v>
      </c>
      <c r="AC446" s="4">
        <v>2</v>
      </c>
      <c r="AD446" s="4">
        <v>15</v>
      </c>
      <c r="AE446" s="4">
        <v>17</v>
      </c>
      <c r="AF446" s="4">
        <v>5</v>
      </c>
      <c r="AG446" s="4">
        <v>7</v>
      </c>
      <c r="AH446" s="4">
        <v>2</v>
      </c>
      <c r="AI446" s="4">
        <v>2</v>
      </c>
      <c r="AJ446" s="4">
        <v>9</v>
      </c>
      <c r="AK446" s="4">
        <v>10</v>
      </c>
      <c r="AL446" s="4">
        <v>1</v>
      </c>
      <c r="AM446" s="4">
        <v>1</v>
      </c>
      <c r="AN446" s="4">
        <v>0</v>
      </c>
      <c r="AO446" s="4">
        <v>0</v>
      </c>
      <c r="AP446" s="3" t="s">
        <v>58</v>
      </c>
      <c r="AQ446" s="3" t="s">
        <v>68</v>
      </c>
      <c r="AR446" s="6" t="str">
        <f>HYPERLINK("http://catalog.hathitrust.org/Record/002714622","HathiTrust Record")</f>
        <v>HathiTrust Record</v>
      </c>
      <c r="AS446" s="6" t="str">
        <f>HYPERLINK("https://creighton-primo.hosted.exlibrisgroup.com/primo-explore/search?tab=default_tab&amp;search_scope=EVERYTHING&amp;vid=01CRU&amp;lang=en_US&amp;offset=0&amp;query=any,contains,991002174869702656","Catalog Record")</f>
        <v>Catalog Record</v>
      </c>
      <c r="AT446" s="6" t="str">
        <f>HYPERLINK("http://www.worldcat.org/oclc/27977878","WorldCat Record")</f>
        <v>WorldCat Record</v>
      </c>
      <c r="AU446" s="3" t="s">
        <v>5823</v>
      </c>
      <c r="AV446" s="3" t="s">
        <v>5824</v>
      </c>
      <c r="AW446" s="3" t="s">
        <v>5825</v>
      </c>
      <c r="AX446" s="3" t="s">
        <v>5825</v>
      </c>
      <c r="AY446" s="3" t="s">
        <v>5826</v>
      </c>
      <c r="AZ446" s="3" t="s">
        <v>73</v>
      </c>
      <c r="BB446" s="3" t="s">
        <v>5827</v>
      </c>
      <c r="BC446" s="3" t="s">
        <v>5828</v>
      </c>
      <c r="BD446" s="3" t="s">
        <v>5829</v>
      </c>
    </row>
    <row r="447" spans="1:56" ht="45" customHeight="1" x14ac:dyDescent="0.25">
      <c r="A447" s="8" t="s">
        <v>58</v>
      </c>
      <c r="B447" s="2" t="s">
        <v>5830</v>
      </c>
      <c r="C447" s="2" t="s">
        <v>5831</v>
      </c>
      <c r="D447" s="2" t="s">
        <v>5832</v>
      </c>
      <c r="F447" s="3" t="s">
        <v>58</v>
      </c>
      <c r="G447" s="3" t="s">
        <v>59</v>
      </c>
      <c r="H447" s="3" t="s">
        <v>58</v>
      </c>
      <c r="I447" s="3" t="s">
        <v>58</v>
      </c>
      <c r="J447" s="3" t="s">
        <v>60</v>
      </c>
      <c r="K447" s="2" t="s">
        <v>5833</v>
      </c>
      <c r="L447" s="2" t="s">
        <v>1408</v>
      </c>
      <c r="M447" s="3" t="s">
        <v>681</v>
      </c>
      <c r="O447" s="3" t="s">
        <v>64</v>
      </c>
      <c r="P447" s="3" t="s">
        <v>177</v>
      </c>
      <c r="R447" s="3" t="s">
        <v>66</v>
      </c>
      <c r="S447" s="4">
        <v>22</v>
      </c>
      <c r="T447" s="4">
        <v>22</v>
      </c>
      <c r="U447" s="5" t="s">
        <v>5834</v>
      </c>
      <c r="V447" s="5" t="s">
        <v>5834</v>
      </c>
      <c r="W447" s="5" t="s">
        <v>5835</v>
      </c>
      <c r="X447" s="5" t="s">
        <v>5835</v>
      </c>
      <c r="Y447" s="4">
        <v>362</v>
      </c>
      <c r="Z447" s="4">
        <v>322</v>
      </c>
      <c r="AA447" s="4">
        <v>324</v>
      </c>
      <c r="AB447" s="4">
        <v>2</v>
      </c>
      <c r="AC447" s="4">
        <v>2</v>
      </c>
      <c r="AD447" s="4">
        <v>8</v>
      </c>
      <c r="AE447" s="4">
        <v>8</v>
      </c>
      <c r="AF447" s="4">
        <v>4</v>
      </c>
      <c r="AG447" s="4">
        <v>4</v>
      </c>
      <c r="AH447" s="4">
        <v>0</v>
      </c>
      <c r="AI447" s="4">
        <v>0</v>
      </c>
      <c r="AJ447" s="4">
        <v>6</v>
      </c>
      <c r="AK447" s="4">
        <v>6</v>
      </c>
      <c r="AL447" s="4">
        <v>1</v>
      </c>
      <c r="AM447" s="4">
        <v>1</v>
      </c>
      <c r="AN447" s="4">
        <v>0</v>
      </c>
      <c r="AO447" s="4">
        <v>0</v>
      </c>
      <c r="AP447" s="3" t="s">
        <v>58</v>
      </c>
      <c r="AQ447" s="3" t="s">
        <v>68</v>
      </c>
      <c r="AR447" s="6" t="str">
        <f>HYPERLINK("http://catalog.hathitrust.org/Record/000316525","HathiTrust Record")</f>
        <v>HathiTrust Record</v>
      </c>
      <c r="AS447" s="6" t="str">
        <f>HYPERLINK("https://creighton-primo.hosted.exlibrisgroup.com/primo-explore/search?tab=default_tab&amp;search_scope=EVERYTHING&amp;vid=01CRU&amp;lang=en_US&amp;offset=0&amp;query=any,contains,991000157789702656","Catalog Record")</f>
        <v>Catalog Record</v>
      </c>
      <c r="AT447" s="6" t="str">
        <f>HYPERLINK("http://www.worldcat.org/oclc/9254446","WorldCat Record")</f>
        <v>WorldCat Record</v>
      </c>
      <c r="AU447" s="3" t="s">
        <v>5836</v>
      </c>
      <c r="AV447" s="3" t="s">
        <v>5837</v>
      </c>
      <c r="AW447" s="3" t="s">
        <v>5838</v>
      </c>
      <c r="AX447" s="3" t="s">
        <v>5838</v>
      </c>
      <c r="AY447" s="3" t="s">
        <v>5839</v>
      </c>
      <c r="AZ447" s="3" t="s">
        <v>73</v>
      </c>
      <c r="BB447" s="3" t="s">
        <v>5840</v>
      </c>
      <c r="BC447" s="3" t="s">
        <v>5841</v>
      </c>
      <c r="BD447" s="3" t="s">
        <v>5842</v>
      </c>
    </row>
    <row r="448" spans="1:56" ht="45" customHeight="1" x14ac:dyDescent="0.25">
      <c r="A448" s="8" t="s">
        <v>58</v>
      </c>
      <c r="B448" s="2" t="s">
        <v>5843</v>
      </c>
      <c r="C448" s="2" t="s">
        <v>5844</v>
      </c>
      <c r="D448" s="2" t="s">
        <v>5845</v>
      </c>
      <c r="F448" s="3" t="s">
        <v>58</v>
      </c>
      <c r="G448" s="3" t="s">
        <v>59</v>
      </c>
      <c r="H448" s="3" t="s">
        <v>58</v>
      </c>
      <c r="I448" s="3" t="s">
        <v>58</v>
      </c>
      <c r="J448" s="3" t="s">
        <v>60</v>
      </c>
      <c r="K448" s="2" t="s">
        <v>5846</v>
      </c>
      <c r="L448" s="2" t="s">
        <v>5847</v>
      </c>
      <c r="M448" s="3" t="s">
        <v>1013</v>
      </c>
      <c r="O448" s="3" t="s">
        <v>64</v>
      </c>
      <c r="P448" s="3" t="s">
        <v>177</v>
      </c>
      <c r="Q448" s="2" t="s">
        <v>264</v>
      </c>
      <c r="R448" s="3" t="s">
        <v>66</v>
      </c>
      <c r="S448" s="4">
        <v>15</v>
      </c>
      <c r="T448" s="4">
        <v>15</v>
      </c>
      <c r="U448" s="5" t="s">
        <v>3588</v>
      </c>
      <c r="V448" s="5" t="s">
        <v>3588</v>
      </c>
      <c r="W448" s="5" t="s">
        <v>5848</v>
      </c>
      <c r="X448" s="5" t="s">
        <v>5848</v>
      </c>
      <c r="Y448" s="4">
        <v>617</v>
      </c>
      <c r="Z448" s="4">
        <v>525</v>
      </c>
      <c r="AA448" s="4">
        <v>721</v>
      </c>
      <c r="AB448" s="4">
        <v>3</v>
      </c>
      <c r="AC448" s="4">
        <v>6</v>
      </c>
      <c r="AD448" s="4">
        <v>21</v>
      </c>
      <c r="AE448" s="4">
        <v>37</v>
      </c>
      <c r="AF448" s="4">
        <v>11</v>
      </c>
      <c r="AG448" s="4">
        <v>15</v>
      </c>
      <c r="AH448" s="4">
        <v>2</v>
      </c>
      <c r="AI448" s="4">
        <v>6</v>
      </c>
      <c r="AJ448" s="4">
        <v>9</v>
      </c>
      <c r="AK448" s="4">
        <v>16</v>
      </c>
      <c r="AL448" s="4">
        <v>2</v>
      </c>
      <c r="AM448" s="4">
        <v>5</v>
      </c>
      <c r="AN448" s="4">
        <v>1</v>
      </c>
      <c r="AO448" s="4">
        <v>3</v>
      </c>
      <c r="AP448" s="3" t="s">
        <v>58</v>
      </c>
      <c r="AQ448" s="3" t="s">
        <v>68</v>
      </c>
      <c r="AR448" s="6" t="str">
        <f>HYPERLINK("http://catalog.hathitrust.org/Record/000401642","HathiTrust Record")</f>
        <v>HathiTrust Record</v>
      </c>
      <c r="AS448" s="6" t="str">
        <f>HYPERLINK("https://creighton-primo.hosted.exlibrisgroup.com/primo-explore/search?tab=default_tab&amp;search_scope=EVERYTHING&amp;vid=01CRU&amp;lang=en_US&amp;offset=0&amp;query=any,contains,991000875009702656","Catalog Record")</f>
        <v>Catalog Record</v>
      </c>
      <c r="AT448" s="6" t="str">
        <f>HYPERLINK("http://www.worldcat.org/oclc/13796027","WorldCat Record")</f>
        <v>WorldCat Record</v>
      </c>
      <c r="AU448" s="3" t="s">
        <v>5849</v>
      </c>
      <c r="AV448" s="3" t="s">
        <v>5850</v>
      </c>
      <c r="AW448" s="3" t="s">
        <v>5851</v>
      </c>
      <c r="AX448" s="3" t="s">
        <v>5851</v>
      </c>
      <c r="AY448" s="3" t="s">
        <v>5852</v>
      </c>
      <c r="AZ448" s="3" t="s">
        <v>73</v>
      </c>
      <c r="BB448" s="3" t="s">
        <v>5853</v>
      </c>
      <c r="BC448" s="3" t="s">
        <v>5854</v>
      </c>
      <c r="BD448" s="3" t="s">
        <v>5855</v>
      </c>
    </row>
    <row r="449" spans="1:56" ht="45" customHeight="1" x14ac:dyDescent="0.25">
      <c r="A449" s="8" t="s">
        <v>58</v>
      </c>
      <c r="B449" s="2" t="s">
        <v>5856</v>
      </c>
      <c r="C449" s="2" t="s">
        <v>5857</v>
      </c>
      <c r="D449" s="2" t="s">
        <v>5858</v>
      </c>
      <c r="F449" s="3" t="s">
        <v>58</v>
      </c>
      <c r="G449" s="3" t="s">
        <v>59</v>
      </c>
      <c r="H449" s="3" t="s">
        <v>58</v>
      </c>
      <c r="I449" s="3" t="s">
        <v>58</v>
      </c>
      <c r="J449" s="3" t="s">
        <v>60</v>
      </c>
      <c r="K449" s="2" t="s">
        <v>5859</v>
      </c>
      <c r="L449" s="2" t="s">
        <v>5860</v>
      </c>
      <c r="M449" s="3" t="s">
        <v>146</v>
      </c>
      <c r="O449" s="3" t="s">
        <v>64</v>
      </c>
      <c r="P449" s="3" t="s">
        <v>177</v>
      </c>
      <c r="R449" s="3" t="s">
        <v>66</v>
      </c>
      <c r="S449" s="4">
        <v>8</v>
      </c>
      <c r="T449" s="4">
        <v>8</v>
      </c>
      <c r="U449" s="5" t="s">
        <v>5861</v>
      </c>
      <c r="V449" s="5" t="s">
        <v>5861</v>
      </c>
      <c r="W449" s="5" t="s">
        <v>5862</v>
      </c>
      <c r="X449" s="5" t="s">
        <v>5862</v>
      </c>
      <c r="Y449" s="4">
        <v>254</v>
      </c>
      <c r="Z449" s="4">
        <v>217</v>
      </c>
      <c r="AA449" s="4">
        <v>729</v>
      </c>
      <c r="AB449" s="4">
        <v>2</v>
      </c>
      <c r="AC449" s="4">
        <v>7</v>
      </c>
      <c r="AD449" s="4">
        <v>9</v>
      </c>
      <c r="AE449" s="4">
        <v>31</v>
      </c>
      <c r="AF449" s="4">
        <v>5</v>
      </c>
      <c r="AG449" s="4">
        <v>13</v>
      </c>
      <c r="AH449" s="4">
        <v>1</v>
      </c>
      <c r="AI449" s="4">
        <v>5</v>
      </c>
      <c r="AJ449" s="4">
        <v>2</v>
      </c>
      <c r="AK449" s="4">
        <v>9</v>
      </c>
      <c r="AL449" s="4">
        <v>1</v>
      </c>
      <c r="AM449" s="4">
        <v>6</v>
      </c>
      <c r="AN449" s="4">
        <v>1</v>
      </c>
      <c r="AO449" s="4">
        <v>2</v>
      </c>
      <c r="AP449" s="3" t="s">
        <v>58</v>
      </c>
      <c r="AQ449" s="3" t="s">
        <v>68</v>
      </c>
      <c r="AR449" s="6" t="str">
        <f>HYPERLINK("http://catalog.hathitrust.org/Record/003968917","HathiTrust Record")</f>
        <v>HathiTrust Record</v>
      </c>
      <c r="AS449" s="6" t="str">
        <f>HYPERLINK("https://creighton-primo.hosted.exlibrisgroup.com/primo-explore/search?tab=default_tab&amp;search_scope=EVERYTHING&amp;vid=01CRU&amp;lang=en_US&amp;offset=0&amp;query=any,contains,991002793999702656","Catalog Record")</f>
        <v>Catalog Record</v>
      </c>
      <c r="AT449" s="6" t="str">
        <f>HYPERLINK("http://www.worldcat.org/oclc/36694306","WorldCat Record")</f>
        <v>WorldCat Record</v>
      </c>
      <c r="AU449" s="3" t="s">
        <v>5863</v>
      </c>
      <c r="AV449" s="3" t="s">
        <v>5864</v>
      </c>
      <c r="AW449" s="3" t="s">
        <v>5865</v>
      </c>
      <c r="AX449" s="3" t="s">
        <v>5865</v>
      </c>
      <c r="AY449" s="3" t="s">
        <v>5866</v>
      </c>
      <c r="AZ449" s="3" t="s">
        <v>73</v>
      </c>
      <c r="BB449" s="3" t="s">
        <v>5867</v>
      </c>
      <c r="BC449" s="3" t="s">
        <v>5868</v>
      </c>
      <c r="BD449" s="3" t="s">
        <v>5869</v>
      </c>
    </row>
    <row r="450" spans="1:56" ht="45" customHeight="1" x14ac:dyDescent="0.25">
      <c r="A450" s="8" t="s">
        <v>58</v>
      </c>
      <c r="B450" s="2" t="s">
        <v>5870</v>
      </c>
      <c r="C450" s="2" t="s">
        <v>5871</v>
      </c>
      <c r="D450" s="2" t="s">
        <v>5872</v>
      </c>
      <c r="F450" s="3" t="s">
        <v>58</v>
      </c>
      <c r="G450" s="3" t="s">
        <v>59</v>
      </c>
      <c r="H450" s="3" t="s">
        <v>58</v>
      </c>
      <c r="I450" s="3" t="s">
        <v>58</v>
      </c>
      <c r="J450" s="3" t="s">
        <v>60</v>
      </c>
      <c r="K450" s="2" t="s">
        <v>5873</v>
      </c>
      <c r="L450" s="2" t="s">
        <v>5860</v>
      </c>
      <c r="M450" s="3" t="s">
        <v>146</v>
      </c>
      <c r="O450" s="3" t="s">
        <v>64</v>
      </c>
      <c r="P450" s="3" t="s">
        <v>177</v>
      </c>
      <c r="R450" s="3" t="s">
        <v>66</v>
      </c>
      <c r="S450" s="4">
        <v>2</v>
      </c>
      <c r="T450" s="4">
        <v>2</v>
      </c>
      <c r="U450" s="5" t="s">
        <v>5874</v>
      </c>
      <c r="V450" s="5" t="s">
        <v>5874</v>
      </c>
      <c r="W450" s="5" t="s">
        <v>5862</v>
      </c>
      <c r="X450" s="5" t="s">
        <v>5862</v>
      </c>
      <c r="Y450" s="4">
        <v>132</v>
      </c>
      <c r="Z450" s="4">
        <v>109</v>
      </c>
      <c r="AA450" s="4">
        <v>111</v>
      </c>
      <c r="AB450" s="4">
        <v>2</v>
      </c>
      <c r="AC450" s="4">
        <v>2</v>
      </c>
      <c r="AD450" s="4">
        <v>6</v>
      </c>
      <c r="AE450" s="4">
        <v>6</v>
      </c>
      <c r="AF450" s="4">
        <v>4</v>
      </c>
      <c r="AG450" s="4">
        <v>4</v>
      </c>
      <c r="AH450" s="4">
        <v>1</v>
      </c>
      <c r="AI450" s="4">
        <v>1</v>
      </c>
      <c r="AJ450" s="4">
        <v>2</v>
      </c>
      <c r="AK450" s="4">
        <v>2</v>
      </c>
      <c r="AL450" s="4">
        <v>1</v>
      </c>
      <c r="AM450" s="4">
        <v>1</v>
      </c>
      <c r="AN450" s="4">
        <v>0</v>
      </c>
      <c r="AO450" s="4">
        <v>0</v>
      </c>
      <c r="AP450" s="3" t="s">
        <v>58</v>
      </c>
      <c r="AQ450" s="3" t="s">
        <v>68</v>
      </c>
      <c r="AR450" s="6" t="str">
        <f>HYPERLINK("http://catalog.hathitrust.org/Record/003180627","HathiTrust Record")</f>
        <v>HathiTrust Record</v>
      </c>
      <c r="AS450" s="6" t="str">
        <f>HYPERLINK("https://creighton-primo.hosted.exlibrisgroup.com/primo-explore/search?tab=default_tab&amp;search_scope=EVERYTHING&amp;vid=01CRU&amp;lang=en_US&amp;offset=0&amp;query=any,contains,991002786529702656","Catalog Record")</f>
        <v>Catalog Record</v>
      </c>
      <c r="AT450" s="6" t="str">
        <f>HYPERLINK("http://www.worldcat.org/oclc/36589152","WorldCat Record")</f>
        <v>WorldCat Record</v>
      </c>
      <c r="AU450" s="3" t="s">
        <v>5875</v>
      </c>
      <c r="AV450" s="3" t="s">
        <v>5876</v>
      </c>
      <c r="AW450" s="3" t="s">
        <v>5877</v>
      </c>
      <c r="AX450" s="3" t="s">
        <v>5877</v>
      </c>
      <c r="AY450" s="3" t="s">
        <v>5878</v>
      </c>
      <c r="AZ450" s="3" t="s">
        <v>73</v>
      </c>
      <c r="BB450" s="3" t="s">
        <v>5879</v>
      </c>
      <c r="BC450" s="3" t="s">
        <v>5880</v>
      </c>
      <c r="BD450" s="3" t="s">
        <v>5881</v>
      </c>
    </row>
    <row r="451" spans="1:56" ht="45" customHeight="1" x14ac:dyDescent="0.25">
      <c r="A451" s="8" t="s">
        <v>58</v>
      </c>
      <c r="B451" s="2" t="s">
        <v>5882</v>
      </c>
      <c r="C451" s="2" t="s">
        <v>5883</v>
      </c>
      <c r="D451" s="2" t="s">
        <v>5884</v>
      </c>
      <c r="F451" s="3" t="s">
        <v>58</v>
      </c>
      <c r="G451" s="3" t="s">
        <v>59</v>
      </c>
      <c r="H451" s="3" t="s">
        <v>58</v>
      </c>
      <c r="I451" s="3" t="s">
        <v>58</v>
      </c>
      <c r="J451" s="3" t="s">
        <v>60</v>
      </c>
      <c r="K451" s="2" t="s">
        <v>5885</v>
      </c>
      <c r="L451" s="2" t="s">
        <v>5886</v>
      </c>
      <c r="M451" s="3" t="s">
        <v>538</v>
      </c>
      <c r="O451" s="3" t="s">
        <v>64</v>
      </c>
      <c r="P451" s="3" t="s">
        <v>114</v>
      </c>
      <c r="Q451" s="2" t="s">
        <v>5887</v>
      </c>
      <c r="R451" s="3" t="s">
        <v>66</v>
      </c>
      <c r="S451" s="4">
        <v>7</v>
      </c>
      <c r="T451" s="4">
        <v>7</v>
      </c>
      <c r="U451" s="5" t="s">
        <v>5888</v>
      </c>
      <c r="V451" s="5" t="s">
        <v>5888</v>
      </c>
      <c r="W451" s="5" t="s">
        <v>5889</v>
      </c>
      <c r="X451" s="5" t="s">
        <v>5889</v>
      </c>
      <c r="Y451" s="4">
        <v>637</v>
      </c>
      <c r="Z451" s="4">
        <v>459</v>
      </c>
      <c r="AA451" s="4">
        <v>494</v>
      </c>
      <c r="AB451" s="4">
        <v>2</v>
      </c>
      <c r="AC451" s="4">
        <v>3</v>
      </c>
      <c r="AD451" s="4">
        <v>26</v>
      </c>
      <c r="AE451" s="4">
        <v>28</v>
      </c>
      <c r="AF451" s="4">
        <v>10</v>
      </c>
      <c r="AG451" s="4">
        <v>11</v>
      </c>
      <c r="AH451" s="4">
        <v>9</v>
      </c>
      <c r="AI451" s="4">
        <v>9</v>
      </c>
      <c r="AJ451" s="4">
        <v>14</v>
      </c>
      <c r="AK451" s="4">
        <v>14</v>
      </c>
      <c r="AL451" s="4">
        <v>1</v>
      </c>
      <c r="AM451" s="4">
        <v>2</v>
      </c>
      <c r="AN451" s="4">
        <v>2</v>
      </c>
      <c r="AO451" s="4">
        <v>2</v>
      </c>
      <c r="AP451" s="3" t="s">
        <v>58</v>
      </c>
      <c r="AQ451" s="3" t="s">
        <v>68</v>
      </c>
      <c r="AR451" s="6" t="str">
        <f>HYPERLINK("http://catalog.hathitrust.org/Record/002205580","HathiTrust Record")</f>
        <v>HathiTrust Record</v>
      </c>
      <c r="AS451" s="6" t="str">
        <f>HYPERLINK("https://creighton-primo.hosted.exlibrisgroup.com/primo-explore/search?tab=default_tab&amp;search_scope=EVERYTHING&amp;vid=01CRU&amp;lang=en_US&amp;offset=0&amp;query=any,contains,991001662879702656","Catalog Record")</f>
        <v>Catalog Record</v>
      </c>
      <c r="AT451" s="6" t="str">
        <f>HYPERLINK("http://www.worldcat.org/oclc/21195646","WorldCat Record")</f>
        <v>WorldCat Record</v>
      </c>
      <c r="AU451" s="3" t="s">
        <v>5890</v>
      </c>
      <c r="AV451" s="3" t="s">
        <v>5891</v>
      </c>
      <c r="AW451" s="3" t="s">
        <v>5892</v>
      </c>
      <c r="AX451" s="3" t="s">
        <v>5892</v>
      </c>
      <c r="AY451" s="3" t="s">
        <v>5893</v>
      </c>
      <c r="AZ451" s="3" t="s">
        <v>73</v>
      </c>
      <c r="BB451" s="3" t="s">
        <v>5894</v>
      </c>
      <c r="BC451" s="3" t="s">
        <v>5895</v>
      </c>
      <c r="BD451" s="3" t="s">
        <v>5896</v>
      </c>
    </row>
    <row r="452" spans="1:56" ht="45" customHeight="1" x14ac:dyDescent="0.25">
      <c r="A452" s="8" t="s">
        <v>58</v>
      </c>
      <c r="B452" s="2" t="s">
        <v>5897</v>
      </c>
      <c r="C452" s="2" t="s">
        <v>5898</v>
      </c>
      <c r="D452" s="2" t="s">
        <v>5899</v>
      </c>
      <c r="F452" s="3" t="s">
        <v>58</v>
      </c>
      <c r="G452" s="3" t="s">
        <v>59</v>
      </c>
      <c r="H452" s="3" t="s">
        <v>58</v>
      </c>
      <c r="I452" s="3" t="s">
        <v>58</v>
      </c>
      <c r="J452" s="3" t="s">
        <v>60</v>
      </c>
      <c r="K452" s="2" t="s">
        <v>5900</v>
      </c>
      <c r="L452" s="2" t="s">
        <v>5901</v>
      </c>
      <c r="M452" s="3" t="s">
        <v>1166</v>
      </c>
      <c r="O452" s="3" t="s">
        <v>64</v>
      </c>
      <c r="P452" s="3" t="s">
        <v>65</v>
      </c>
      <c r="Q452" s="2" t="s">
        <v>5902</v>
      </c>
      <c r="R452" s="3" t="s">
        <v>66</v>
      </c>
      <c r="S452" s="4">
        <v>2</v>
      </c>
      <c r="T452" s="4">
        <v>2</v>
      </c>
      <c r="U452" s="5" t="s">
        <v>5903</v>
      </c>
      <c r="V452" s="5" t="s">
        <v>5903</v>
      </c>
      <c r="W452" s="5" t="s">
        <v>5904</v>
      </c>
      <c r="X452" s="5" t="s">
        <v>5904</v>
      </c>
      <c r="Y452" s="4">
        <v>284</v>
      </c>
      <c r="Z452" s="4">
        <v>208</v>
      </c>
      <c r="AA452" s="4">
        <v>210</v>
      </c>
      <c r="AB452" s="4">
        <v>2</v>
      </c>
      <c r="AC452" s="4">
        <v>2</v>
      </c>
      <c r="AD452" s="4">
        <v>9</v>
      </c>
      <c r="AE452" s="4">
        <v>9</v>
      </c>
      <c r="AF452" s="4">
        <v>2</v>
      </c>
      <c r="AG452" s="4">
        <v>2</v>
      </c>
      <c r="AH452" s="4">
        <v>3</v>
      </c>
      <c r="AI452" s="4">
        <v>3</v>
      </c>
      <c r="AJ452" s="4">
        <v>6</v>
      </c>
      <c r="AK452" s="4">
        <v>6</v>
      </c>
      <c r="AL452" s="4">
        <v>1</v>
      </c>
      <c r="AM452" s="4">
        <v>1</v>
      </c>
      <c r="AN452" s="4">
        <v>0</v>
      </c>
      <c r="AO452" s="4">
        <v>0</v>
      </c>
      <c r="AP452" s="3" t="s">
        <v>58</v>
      </c>
      <c r="AQ452" s="3" t="s">
        <v>68</v>
      </c>
      <c r="AR452" s="6" t="str">
        <f>HYPERLINK("http://catalog.hathitrust.org/Record/004062159","HathiTrust Record")</f>
        <v>HathiTrust Record</v>
      </c>
      <c r="AS452" s="6" t="str">
        <f>HYPERLINK("https://creighton-primo.hosted.exlibrisgroup.com/primo-explore/search?tab=default_tab&amp;search_scope=EVERYTHING&amp;vid=01CRU&amp;lang=en_US&amp;offset=0&amp;query=any,contains,991002395309702656","Catalog Record")</f>
        <v>Catalog Record</v>
      </c>
      <c r="AT452" s="6" t="str">
        <f>HYPERLINK("http://www.worldcat.org/oclc/31131069","WorldCat Record")</f>
        <v>WorldCat Record</v>
      </c>
      <c r="AU452" s="3" t="s">
        <v>5905</v>
      </c>
      <c r="AV452" s="3" t="s">
        <v>5906</v>
      </c>
      <c r="AW452" s="3" t="s">
        <v>5907</v>
      </c>
      <c r="AX452" s="3" t="s">
        <v>5907</v>
      </c>
      <c r="AY452" s="3" t="s">
        <v>5908</v>
      </c>
      <c r="AZ452" s="3" t="s">
        <v>73</v>
      </c>
      <c r="BB452" s="3" t="s">
        <v>5909</v>
      </c>
      <c r="BC452" s="3" t="s">
        <v>5910</v>
      </c>
      <c r="BD452" s="3" t="s">
        <v>5911</v>
      </c>
    </row>
    <row r="453" spans="1:56" ht="45" customHeight="1" x14ac:dyDescent="0.25">
      <c r="A453" s="8" t="s">
        <v>58</v>
      </c>
      <c r="B453" s="2" t="s">
        <v>5912</v>
      </c>
      <c r="C453" s="2" t="s">
        <v>5913</v>
      </c>
      <c r="D453" s="2" t="s">
        <v>5914</v>
      </c>
      <c r="F453" s="3" t="s">
        <v>58</v>
      </c>
      <c r="G453" s="3" t="s">
        <v>59</v>
      </c>
      <c r="H453" s="3" t="s">
        <v>58</v>
      </c>
      <c r="I453" s="3" t="s">
        <v>68</v>
      </c>
      <c r="J453" s="3" t="s">
        <v>60</v>
      </c>
      <c r="K453" s="2" t="s">
        <v>5915</v>
      </c>
      <c r="L453" s="2" t="s">
        <v>5916</v>
      </c>
      <c r="M453" s="3" t="s">
        <v>1730</v>
      </c>
      <c r="O453" s="3" t="s">
        <v>64</v>
      </c>
      <c r="P453" s="3" t="s">
        <v>177</v>
      </c>
      <c r="R453" s="3" t="s">
        <v>66</v>
      </c>
      <c r="S453" s="4">
        <v>1</v>
      </c>
      <c r="T453" s="4">
        <v>1</v>
      </c>
      <c r="U453" s="5" t="s">
        <v>5917</v>
      </c>
      <c r="V453" s="5" t="s">
        <v>5917</v>
      </c>
      <c r="W453" s="5" t="s">
        <v>5918</v>
      </c>
      <c r="X453" s="5" t="s">
        <v>5918</v>
      </c>
      <c r="Y453" s="4">
        <v>485</v>
      </c>
      <c r="Z453" s="4">
        <v>430</v>
      </c>
      <c r="AA453" s="4">
        <v>703</v>
      </c>
      <c r="AB453" s="4">
        <v>3</v>
      </c>
      <c r="AC453" s="4">
        <v>4</v>
      </c>
      <c r="AD453" s="4">
        <v>21</v>
      </c>
      <c r="AE453" s="4">
        <v>29</v>
      </c>
      <c r="AF453" s="4">
        <v>7</v>
      </c>
      <c r="AG453" s="4">
        <v>12</v>
      </c>
      <c r="AH453" s="4">
        <v>3</v>
      </c>
      <c r="AI453" s="4">
        <v>4</v>
      </c>
      <c r="AJ453" s="4">
        <v>12</v>
      </c>
      <c r="AK453" s="4">
        <v>15</v>
      </c>
      <c r="AL453" s="4">
        <v>2</v>
      </c>
      <c r="AM453" s="4">
        <v>3</v>
      </c>
      <c r="AN453" s="4">
        <v>0</v>
      </c>
      <c r="AO453" s="4">
        <v>0</v>
      </c>
      <c r="AP453" s="3" t="s">
        <v>58</v>
      </c>
      <c r="AQ453" s="3" t="s">
        <v>58</v>
      </c>
      <c r="AS453" s="6" t="str">
        <f>HYPERLINK("https://creighton-primo.hosted.exlibrisgroup.com/primo-explore/search?tab=default_tab&amp;search_scope=EVERYTHING&amp;vid=01CRU&amp;lang=en_US&amp;offset=0&amp;query=any,contains,991002288359702656","Catalog Record")</f>
        <v>Catalog Record</v>
      </c>
      <c r="AT453" s="6" t="str">
        <f>HYPERLINK("http://www.worldcat.org/oclc/29668487","WorldCat Record")</f>
        <v>WorldCat Record</v>
      </c>
      <c r="AU453" s="3" t="s">
        <v>5919</v>
      </c>
      <c r="AV453" s="3" t="s">
        <v>5920</v>
      </c>
      <c r="AW453" s="3" t="s">
        <v>5921</v>
      </c>
      <c r="AX453" s="3" t="s">
        <v>5921</v>
      </c>
      <c r="AY453" s="3" t="s">
        <v>5922</v>
      </c>
      <c r="AZ453" s="3" t="s">
        <v>73</v>
      </c>
      <c r="BB453" s="3" t="s">
        <v>5923</v>
      </c>
      <c r="BC453" s="3" t="s">
        <v>5924</v>
      </c>
      <c r="BD453" s="3" t="s">
        <v>5925</v>
      </c>
    </row>
    <row r="454" spans="1:56" ht="45" customHeight="1" x14ac:dyDescent="0.25">
      <c r="A454" s="8" t="s">
        <v>58</v>
      </c>
      <c r="B454" s="2" t="s">
        <v>5926</v>
      </c>
      <c r="C454" s="2" t="s">
        <v>5927</v>
      </c>
      <c r="D454" s="2" t="s">
        <v>5928</v>
      </c>
      <c r="F454" s="3" t="s">
        <v>58</v>
      </c>
      <c r="G454" s="3" t="s">
        <v>59</v>
      </c>
      <c r="H454" s="3" t="s">
        <v>58</v>
      </c>
      <c r="I454" s="3" t="s">
        <v>58</v>
      </c>
      <c r="J454" s="3" t="s">
        <v>60</v>
      </c>
      <c r="K454" s="2" t="s">
        <v>5929</v>
      </c>
      <c r="L454" s="2" t="s">
        <v>5930</v>
      </c>
      <c r="M454" s="3" t="s">
        <v>1451</v>
      </c>
      <c r="N454" s="2" t="s">
        <v>5931</v>
      </c>
      <c r="O454" s="3" t="s">
        <v>64</v>
      </c>
      <c r="P454" s="3" t="s">
        <v>65</v>
      </c>
      <c r="R454" s="3" t="s">
        <v>66</v>
      </c>
      <c r="S454" s="4">
        <v>3</v>
      </c>
      <c r="T454" s="4">
        <v>3</v>
      </c>
      <c r="U454" s="5" t="s">
        <v>5932</v>
      </c>
      <c r="V454" s="5" t="s">
        <v>5932</v>
      </c>
      <c r="W454" s="5" t="s">
        <v>5933</v>
      </c>
      <c r="X454" s="5" t="s">
        <v>5933</v>
      </c>
      <c r="Y454" s="4">
        <v>421</v>
      </c>
      <c r="Z454" s="4">
        <v>394</v>
      </c>
      <c r="AA454" s="4">
        <v>661</v>
      </c>
      <c r="AB454" s="4">
        <v>1</v>
      </c>
      <c r="AC454" s="4">
        <v>4</v>
      </c>
      <c r="AD454" s="4">
        <v>16</v>
      </c>
      <c r="AE454" s="4">
        <v>25</v>
      </c>
      <c r="AF454" s="4">
        <v>8</v>
      </c>
      <c r="AG454" s="4">
        <v>9</v>
      </c>
      <c r="AH454" s="4">
        <v>5</v>
      </c>
      <c r="AI454" s="4">
        <v>7</v>
      </c>
      <c r="AJ454" s="4">
        <v>9</v>
      </c>
      <c r="AK454" s="4">
        <v>12</v>
      </c>
      <c r="AL454" s="4">
        <v>0</v>
      </c>
      <c r="AM454" s="4">
        <v>3</v>
      </c>
      <c r="AN454" s="4">
        <v>0</v>
      </c>
      <c r="AO454" s="4">
        <v>0</v>
      </c>
      <c r="AP454" s="3" t="s">
        <v>58</v>
      </c>
      <c r="AQ454" s="3" t="s">
        <v>68</v>
      </c>
      <c r="AR454" s="6" t="str">
        <f>HYPERLINK("http://catalog.hathitrust.org/Record/003258375","HathiTrust Record")</f>
        <v>HathiTrust Record</v>
      </c>
      <c r="AS454" s="6" t="str">
        <f>HYPERLINK("https://creighton-primo.hosted.exlibrisgroup.com/primo-explore/search?tab=default_tab&amp;search_scope=EVERYTHING&amp;vid=01CRU&amp;lang=en_US&amp;offset=0&amp;query=any,contains,991003888709702656","Catalog Record")</f>
        <v>Catalog Record</v>
      </c>
      <c r="AT454" s="6" t="str">
        <f>HYPERLINK("http://www.worldcat.org/oclc/36884014","WorldCat Record")</f>
        <v>WorldCat Record</v>
      </c>
      <c r="AU454" s="3" t="s">
        <v>5934</v>
      </c>
      <c r="AV454" s="3" t="s">
        <v>5935</v>
      </c>
      <c r="AW454" s="3" t="s">
        <v>5936</v>
      </c>
      <c r="AX454" s="3" t="s">
        <v>5936</v>
      </c>
      <c r="AY454" s="3" t="s">
        <v>5937</v>
      </c>
      <c r="AZ454" s="3" t="s">
        <v>73</v>
      </c>
      <c r="BB454" s="3" t="s">
        <v>5938</v>
      </c>
      <c r="BC454" s="3" t="s">
        <v>5939</v>
      </c>
      <c r="BD454" s="3" t="s">
        <v>5940</v>
      </c>
    </row>
    <row r="455" spans="1:56" ht="45" customHeight="1" x14ac:dyDescent="0.25">
      <c r="A455" s="8" t="s">
        <v>58</v>
      </c>
      <c r="B455" s="2" t="s">
        <v>5941</v>
      </c>
      <c r="C455" s="2" t="s">
        <v>5942</v>
      </c>
      <c r="D455" s="2" t="s">
        <v>5943</v>
      </c>
      <c r="F455" s="3" t="s">
        <v>58</v>
      </c>
      <c r="G455" s="3" t="s">
        <v>59</v>
      </c>
      <c r="H455" s="3" t="s">
        <v>58</v>
      </c>
      <c r="I455" s="3" t="s">
        <v>58</v>
      </c>
      <c r="J455" s="3" t="s">
        <v>60</v>
      </c>
      <c r="K455" s="2" t="s">
        <v>5944</v>
      </c>
      <c r="L455" s="2" t="s">
        <v>5945</v>
      </c>
      <c r="M455" s="3" t="s">
        <v>1181</v>
      </c>
      <c r="O455" s="3" t="s">
        <v>64</v>
      </c>
      <c r="P455" s="3" t="s">
        <v>65</v>
      </c>
      <c r="R455" s="3" t="s">
        <v>66</v>
      </c>
      <c r="S455" s="4">
        <v>3</v>
      </c>
      <c r="T455" s="4">
        <v>3</v>
      </c>
      <c r="U455" s="5" t="s">
        <v>5946</v>
      </c>
      <c r="V455" s="5" t="s">
        <v>5946</v>
      </c>
      <c r="W455" s="5" t="s">
        <v>5947</v>
      </c>
      <c r="X455" s="5" t="s">
        <v>5947</v>
      </c>
      <c r="Y455" s="4">
        <v>469</v>
      </c>
      <c r="Z455" s="4">
        <v>413</v>
      </c>
      <c r="AA455" s="4">
        <v>428</v>
      </c>
      <c r="AB455" s="4">
        <v>6</v>
      </c>
      <c r="AC455" s="4">
        <v>6</v>
      </c>
      <c r="AD455" s="4">
        <v>23</v>
      </c>
      <c r="AE455" s="4">
        <v>24</v>
      </c>
      <c r="AF455" s="4">
        <v>6</v>
      </c>
      <c r="AG455" s="4">
        <v>7</v>
      </c>
      <c r="AH455" s="4">
        <v>5</v>
      </c>
      <c r="AI455" s="4">
        <v>5</v>
      </c>
      <c r="AJ455" s="4">
        <v>13</v>
      </c>
      <c r="AK455" s="4">
        <v>13</v>
      </c>
      <c r="AL455" s="4">
        <v>5</v>
      </c>
      <c r="AM455" s="4">
        <v>5</v>
      </c>
      <c r="AN455" s="4">
        <v>0</v>
      </c>
      <c r="AO455" s="4">
        <v>0</v>
      </c>
      <c r="AP455" s="3" t="s">
        <v>58</v>
      </c>
      <c r="AQ455" s="3" t="s">
        <v>68</v>
      </c>
      <c r="AR455" s="6" t="str">
        <f>HYPERLINK("http://catalog.hathitrust.org/Record/002611786","HathiTrust Record")</f>
        <v>HathiTrust Record</v>
      </c>
      <c r="AS455" s="6" t="str">
        <f>HYPERLINK("https://creighton-primo.hosted.exlibrisgroup.com/primo-explore/search?tab=default_tab&amp;search_scope=EVERYTHING&amp;vid=01CRU&amp;lang=en_US&amp;offset=0&amp;query=any,contains,991001957109702656","Catalog Record")</f>
        <v>Catalog Record</v>
      </c>
      <c r="AT455" s="6" t="str">
        <f>HYPERLINK("http://www.worldcat.org/oclc/24792831","WorldCat Record")</f>
        <v>WorldCat Record</v>
      </c>
      <c r="AU455" s="3" t="s">
        <v>5948</v>
      </c>
      <c r="AV455" s="3" t="s">
        <v>5949</v>
      </c>
      <c r="AW455" s="3" t="s">
        <v>5950</v>
      </c>
      <c r="AX455" s="3" t="s">
        <v>5950</v>
      </c>
      <c r="AY455" s="3" t="s">
        <v>5951</v>
      </c>
      <c r="AZ455" s="3" t="s">
        <v>73</v>
      </c>
      <c r="BB455" s="3" t="s">
        <v>5952</v>
      </c>
      <c r="BC455" s="3" t="s">
        <v>5953</v>
      </c>
      <c r="BD455" s="3" t="s">
        <v>5954</v>
      </c>
    </row>
    <row r="456" spans="1:56" ht="45" customHeight="1" x14ac:dyDescent="0.25">
      <c r="A456" s="8" t="s">
        <v>58</v>
      </c>
      <c r="B456" s="2" t="s">
        <v>5955</v>
      </c>
      <c r="C456" s="2" t="s">
        <v>5956</v>
      </c>
      <c r="D456" s="2" t="s">
        <v>5957</v>
      </c>
      <c r="F456" s="3" t="s">
        <v>58</v>
      </c>
      <c r="G456" s="3" t="s">
        <v>59</v>
      </c>
      <c r="H456" s="3" t="s">
        <v>58</v>
      </c>
      <c r="I456" s="3" t="s">
        <v>58</v>
      </c>
      <c r="J456" s="3" t="s">
        <v>60</v>
      </c>
      <c r="L456" s="2" t="s">
        <v>5958</v>
      </c>
      <c r="M456" s="3" t="s">
        <v>681</v>
      </c>
      <c r="O456" s="3" t="s">
        <v>64</v>
      </c>
      <c r="P456" s="3" t="s">
        <v>177</v>
      </c>
      <c r="R456" s="3" t="s">
        <v>66</v>
      </c>
      <c r="S456" s="4">
        <v>4</v>
      </c>
      <c r="T456" s="4">
        <v>4</v>
      </c>
      <c r="U456" s="5" t="s">
        <v>5932</v>
      </c>
      <c r="V456" s="5" t="s">
        <v>5932</v>
      </c>
      <c r="W456" s="5" t="s">
        <v>5959</v>
      </c>
      <c r="X456" s="5" t="s">
        <v>5959</v>
      </c>
      <c r="Y456" s="4">
        <v>659</v>
      </c>
      <c r="Z456" s="4">
        <v>590</v>
      </c>
      <c r="AA456" s="4">
        <v>596</v>
      </c>
      <c r="AB456" s="4">
        <v>5</v>
      </c>
      <c r="AC456" s="4">
        <v>5</v>
      </c>
      <c r="AD456" s="4">
        <v>29</v>
      </c>
      <c r="AE456" s="4">
        <v>29</v>
      </c>
      <c r="AF456" s="4">
        <v>12</v>
      </c>
      <c r="AG456" s="4">
        <v>12</v>
      </c>
      <c r="AH456" s="4">
        <v>6</v>
      </c>
      <c r="AI456" s="4">
        <v>6</v>
      </c>
      <c r="AJ456" s="4">
        <v>14</v>
      </c>
      <c r="AK456" s="4">
        <v>14</v>
      </c>
      <c r="AL456" s="4">
        <v>4</v>
      </c>
      <c r="AM456" s="4">
        <v>4</v>
      </c>
      <c r="AN456" s="4">
        <v>0</v>
      </c>
      <c r="AO456" s="4">
        <v>0</v>
      </c>
      <c r="AP456" s="3" t="s">
        <v>58</v>
      </c>
      <c r="AQ456" s="3" t="s">
        <v>58</v>
      </c>
      <c r="AS456" s="6" t="str">
        <f>HYPERLINK("https://creighton-primo.hosted.exlibrisgroup.com/primo-explore/search?tab=default_tab&amp;search_scope=EVERYTHING&amp;vid=01CRU&amp;lang=en_US&amp;offset=0&amp;query=any,contains,991000117559702656","Catalog Record")</f>
        <v>Catalog Record</v>
      </c>
      <c r="AT456" s="6" t="str">
        <f>HYPERLINK("http://www.worldcat.org/oclc/9043763","WorldCat Record")</f>
        <v>WorldCat Record</v>
      </c>
      <c r="AU456" s="3" t="s">
        <v>5960</v>
      </c>
      <c r="AV456" s="3" t="s">
        <v>5961</v>
      </c>
      <c r="AW456" s="3" t="s">
        <v>5962</v>
      </c>
      <c r="AX456" s="3" t="s">
        <v>5962</v>
      </c>
      <c r="AY456" s="3" t="s">
        <v>5963</v>
      </c>
      <c r="AZ456" s="3" t="s">
        <v>73</v>
      </c>
      <c r="BB456" s="3" t="s">
        <v>5964</v>
      </c>
      <c r="BC456" s="3" t="s">
        <v>5965</v>
      </c>
      <c r="BD456" s="3" t="s">
        <v>5966</v>
      </c>
    </row>
    <row r="457" spans="1:56" ht="45" customHeight="1" x14ac:dyDescent="0.25">
      <c r="A457" s="8" t="s">
        <v>58</v>
      </c>
      <c r="B457" s="2" t="s">
        <v>5967</v>
      </c>
      <c r="C457" s="2" t="s">
        <v>5968</v>
      </c>
      <c r="D457" s="2" t="s">
        <v>5969</v>
      </c>
      <c r="F457" s="3" t="s">
        <v>58</v>
      </c>
      <c r="G457" s="3" t="s">
        <v>59</v>
      </c>
      <c r="H457" s="3" t="s">
        <v>58</v>
      </c>
      <c r="I457" s="3" t="s">
        <v>58</v>
      </c>
      <c r="J457" s="3" t="s">
        <v>60</v>
      </c>
      <c r="K457" s="2" t="s">
        <v>5970</v>
      </c>
      <c r="L457" s="2" t="s">
        <v>5971</v>
      </c>
      <c r="M457" s="3" t="s">
        <v>1166</v>
      </c>
      <c r="O457" s="3" t="s">
        <v>64</v>
      </c>
      <c r="P457" s="3" t="s">
        <v>147</v>
      </c>
      <c r="R457" s="3" t="s">
        <v>66</v>
      </c>
      <c r="S457" s="4">
        <v>12</v>
      </c>
      <c r="T457" s="4">
        <v>12</v>
      </c>
      <c r="U457" s="5" t="s">
        <v>5972</v>
      </c>
      <c r="V457" s="5" t="s">
        <v>5972</v>
      </c>
      <c r="W457" s="5" t="s">
        <v>5973</v>
      </c>
      <c r="X457" s="5" t="s">
        <v>5973</v>
      </c>
      <c r="Y457" s="4">
        <v>225</v>
      </c>
      <c r="Z457" s="4">
        <v>186</v>
      </c>
      <c r="AA457" s="4">
        <v>216</v>
      </c>
      <c r="AB457" s="4">
        <v>2</v>
      </c>
      <c r="AC457" s="4">
        <v>2</v>
      </c>
      <c r="AD457" s="4">
        <v>11</v>
      </c>
      <c r="AE457" s="4">
        <v>11</v>
      </c>
      <c r="AF457" s="4">
        <v>4</v>
      </c>
      <c r="AG457" s="4">
        <v>4</v>
      </c>
      <c r="AH457" s="4">
        <v>1</v>
      </c>
      <c r="AI457" s="4">
        <v>1</v>
      </c>
      <c r="AJ457" s="4">
        <v>9</v>
      </c>
      <c r="AK457" s="4">
        <v>9</v>
      </c>
      <c r="AL457" s="4">
        <v>1</v>
      </c>
      <c r="AM457" s="4">
        <v>1</v>
      </c>
      <c r="AN457" s="4">
        <v>0</v>
      </c>
      <c r="AO457" s="4">
        <v>0</v>
      </c>
      <c r="AP457" s="3" t="s">
        <v>58</v>
      </c>
      <c r="AQ457" s="3" t="s">
        <v>58</v>
      </c>
      <c r="AS457" s="6" t="str">
        <f>HYPERLINK("https://creighton-primo.hosted.exlibrisgroup.com/primo-explore/search?tab=default_tab&amp;search_scope=EVERYTHING&amp;vid=01CRU&amp;lang=en_US&amp;offset=0&amp;query=any,contains,991002465189702656","Catalog Record")</f>
        <v>Catalog Record</v>
      </c>
      <c r="AT457" s="6" t="str">
        <f>HYPERLINK("http://www.worldcat.org/oclc/32130880","WorldCat Record")</f>
        <v>WorldCat Record</v>
      </c>
      <c r="AU457" s="3" t="s">
        <v>5974</v>
      </c>
      <c r="AV457" s="3" t="s">
        <v>5975</v>
      </c>
      <c r="AW457" s="3" t="s">
        <v>5976</v>
      </c>
      <c r="AX457" s="3" t="s">
        <v>5976</v>
      </c>
      <c r="AY457" s="3" t="s">
        <v>5977</v>
      </c>
      <c r="AZ457" s="3" t="s">
        <v>73</v>
      </c>
      <c r="BB457" s="3" t="s">
        <v>5978</v>
      </c>
      <c r="BC457" s="3" t="s">
        <v>5979</v>
      </c>
      <c r="BD457" s="3" t="s">
        <v>5980</v>
      </c>
    </row>
    <row r="458" spans="1:56" ht="45" customHeight="1" x14ac:dyDescent="0.25">
      <c r="A458" s="8" t="s">
        <v>58</v>
      </c>
      <c r="B458" s="2" t="s">
        <v>5981</v>
      </c>
      <c r="C458" s="2" t="s">
        <v>5982</v>
      </c>
      <c r="D458" s="2" t="s">
        <v>5983</v>
      </c>
      <c r="F458" s="3" t="s">
        <v>58</v>
      </c>
      <c r="G458" s="3" t="s">
        <v>59</v>
      </c>
      <c r="H458" s="3" t="s">
        <v>58</v>
      </c>
      <c r="I458" s="3" t="s">
        <v>58</v>
      </c>
      <c r="J458" s="3" t="s">
        <v>60</v>
      </c>
      <c r="K458" s="2" t="s">
        <v>5984</v>
      </c>
      <c r="L458" s="2" t="s">
        <v>5985</v>
      </c>
      <c r="M458" s="3" t="s">
        <v>378</v>
      </c>
      <c r="O458" s="3" t="s">
        <v>64</v>
      </c>
      <c r="P458" s="3" t="s">
        <v>177</v>
      </c>
      <c r="Q458" s="2" t="s">
        <v>5986</v>
      </c>
      <c r="R458" s="3" t="s">
        <v>66</v>
      </c>
      <c r="S458" s="4">
        <v>13</v>
      </c>
      <c r="T458" s="4">
        <v>13</v>
      </c>
      <c r="U458" s="5" t="s">
        <v>5987</v>
      </c>
      <c r="V458" s="5" t="s">
        <v>5987</v>
      </c>
      <c r="W458" s="5" t="s">
        <v>5988</v>
      </c>
      <c r="X458" s="5" t="s">
        <v>5988</v>
      </c>
      <c r="Y458" s="4">
        <v>1281</v>
      </c>
      <c r="Z458" s="4">
        <v>1135</v>
      </c>
      <c r="AA458" s="4">
        <v>1135</v>
      </c>
      <c r="AB458" s="4">
        <v>11</v>
      </c>
      <c r="AC458" s="4">
        <v>11</v>
      </c>
      <c r="AD458" s="4">
        <v>36</v>
      </c>
      <c r="AE458" s="4">
        <v>36</v>
      </c>
      <c r="AF458" s="4">
        <v>12</v>
      </c>
      <c r="AG458" s="4">
        <v>12</v>
      </c>
      <c r="AH458" s="4">
        <v>9</v>
      </c>
      <c r="AI458" s="4">
        <v>9</v>
      </c>
      <c r="AJ458" s="4">
        <v>17</v>
      </c>
      <c r="AK458" s="4">
        <v>17</v>
      </c>
      <c r="AL458" s="4">
        <v>7</v>
      </c>
      <c r="AM458" s="4">
        <v>7</v>
      </c>
      <c r="AN458" s="4">
        <v>0</v>
      </c>
      <c r="AO458" s="4">
        <v>0</v>
      </c>
      <c r="AP458" s="3" t="s">
        <v>58</v>
      </c>
      <c r="AQ458" s="3" t="s">
        <v>58</v>
      </c>
      <c r="AS458" s="6" t="str">
        <f>HYPERLINK("https://creighton-primo.hosted.exlibrisgroup.com/primo-explore/search?tab=default_tab&amp;search_scope=EVERYTHING&amp;vid=01CRU&amp;lang=en_US&amp;offset=0&amp;query=any,contains,991000382409702656","Catalog Record")</f>
        <v>Catalog Record</v>
      </c>
      <c r="AT458" s="6" t="str">
        <f>HYPERLINK("http://www.worldcat.org/oclc/10505618","WorldCat Record")</f>
        <v>WorldCat Record</v>
      </c>
      <c r="AU458" s="3" t="s">
        <v>5989</v>
      </c>
      <c r="AV458" s="3" t="s">
        <v>5990</v>
      </c>
      <c r="AW458" s="3" t="s">
        <v>5991</v>
      </c>
      <c r="AX458" s="3" t="s">
        <v>5991</v>
      </c>
      <c r="AY458" s="3" t="s">
        <v>5992</v>
      </c>
      <c r="AZ458" s="3" t="s">
        <v>73</v>
      </c>
      <c r="BB458" s="3" t="s">
        <v>5993</v>
      </c>
      <c r="BC458" s="3" t="s">
        <v>5994</v>
      </c>
      <c r="BD458" s="3" t="s">
        <v>5995</v>
      </c>
    </row>
    <row r="459" spans="1:56" ht="45" customHeight="1" x14ac:dyDescent="0.25">
      <c r="A459" s="8" t="s">
        <v>58</v>
      </c>
      <c r="B459" s="2" t="s">
        <v>5996</v>
      </c>
      <c r="C459" s="2" t="s">
        <v>5997</v>
      </c>
      <c r="D459" s="2" t="s">
        <v>5998</v>
      </c>
      <c r="F459" s="3" t="s">
        <v>58</v>
      </c>
      <c r="G459" s="3" t="s">
        <v>59</v>
      </c>
      <c r="H459" s="3" t="s">
        <v>68</v>
      </c>
      <c r="I459" s="3" t="s">
        <v>58</v>
      </c>
      <c r="J459" s="3" t="s">
        <v>60</v>
      </c>
      <c r="K459" s="2" t="s">
        <v>5999</v>
      </c>
      <c r="L459" s="2" t="s">
        <v>3967</v>
      </c>
      <c r="M459" s="3" t="s">
        <v>1013</v>
      </c>
      <c r="O459" s="3" t="s">
        <v>64</v>
      </c>
      <c r="P459" s="3" t="s">
        <v>177</v>
      </c>
      <c r="R459" s="3" t="s">
        <v>66</v>
      </c>
      <c r="S459" s="4">
        <v>15</v>
      </c>
      <c r="T459" s="4">
        <v>15</v>
      </c>
      <c r="U459" s="5" t="s">
        <v>4560</v>
      </c>
      <c r="V459" s="5" t="s">
        <v>4560</v>
      </c>
      <c r="W459" s="5" t="s">
        <v>931</v>
      </c>
      <c r="X459" s="5" t="s">
        <v>931</v>
      </c>
      <c r="Y459" s="4">
        <v>990</v>
      </c>
      <c r="Z459" s="4">
        <v>862</v>
      </c>
      <c r="AA459" s="4">
        <v>867</v>
      </c>
      <c r="AB459" s="4">
        <v>7</v>
      </c>
      <c r="AC459" s="4">
        <v>7</v>
      </c>
      <c r="AD459" s="4">
        <v>31</v>
      </c>
      <c r="AE459" s="4">
        <v>31</v>
      </c>
      <c r="AF459" s="4">
        <v>13</v>
      </c>
      <c r="AG459" s="4">
        <v>13</v>
      </c>
      <c r="AH459" s="4">
        <v>5</v>
      </c>
      <c r="AI459" s="4">
        <v>5</v>
      </c>
      <c r="AJ459" s="4">
        <v>17</v>
      </c>
      <c r="AK459" s="4">
        <v>17</v>
      </c>
      <c r="AL459" s="4">
        <v>4</v>
      </c>
      <c r="AM459" s="4">
        <v>4</v>
      </c>
      <c r="AN459" s="4">
        <v>2</v>
      </c>
      <c r="AO459" s="4">
        <v>2</v>
      </c>
      <c r="AP459" s="3" t="s">
        <v>58</v>
      </c>
      <c r="AQ459" s="3" t="s">
        <v>58</v>
      </c>
      <c r="AS459" s="6" t="str">
        <f>HYPERLINK("https://creighton-primo.hosted.exlibrisgroup.com/primo-explore/search?tab=default_tab&amp;search_scope=EVERYTHING&amp;vid=01CRU&amp;lang=en_US&amp;offset=0&amp;query=any,contains,991000760489702656","Catalog Record")</f>
        <v>Catalog Record</v>
      </c>
      <c r="AT459" s="6" t="str">
        <f>HYPERLINK("http://www.worldcat.org/oclc/12972899","WorldCat Record")</f>
        <v>WorldCat Record</v>
      </c>
      <c r="AU459" s="3" t="s">
        <v>6000</v>
      </c>
      <c r="AV459" s="3" t="s">
        <v>6001</v>
      </c>
      <c r="AW459" s="3" t="s">
        <v>6002</v>
      </c>
      <c r="AX459" s="3" t="s">
        <v>6002</v>
      </c>
      <c r="AY459" s="3" t="s">
        <v>6003</v>
      </c>
      <c r="AZ459" s="3" t="s">
        <v>73</v>
      </c>
      <c r="BB459" s="3" t="s">
        <v>6004</v>
      </c>
      <c r="BC459" s="3" t="s">
        <v>6005</v>
      </c>
      <c r="BD459" s="3" t="s">
        <v>6006</v>
      </c>
    </row>
    <row r="460" spans="1:56" ht="45" customHeight="1" x14ac:dyDescent="0.25">
      <c r="A460" s="8" t="s">
        <v>58</v>
      </c>
      <c r="B460" s="2" t="s">
        <v>6007</v>
      </c>
      <c r="C460" s="2" t="s">
        <v>6008</v>
      </c>
      <c r="D460" s="2" t="s">
        <v>6009</v>
      </c>
      <c r="E460" s="3" t="s">
        <v>1431</v>
      </c>
      <c r="F460" s="3" t="s">
        <v>68</v>
      </c>
      <c r="G460" s="3" t="s">
        <v>59</v>
      </c>
      <c r="H460" s="3" t="s">
        <v>58</v>
      </c>
      <c r="I460" s="3" t="s">
        <v>58</v>
      </c>
      <c r="J460" s="3" t="s">
        <v>60</v>
      </c>
      <c r="L460" s="2" t="s">
        <v>6010</v>
      </c>
      <c r="M460" s="3" t="s">
        <v>538</v>
      </c>
      <c r="O460" s="3" t="s">
        <v>64</v>
      </c>
      <c r="P460" s="3" t="s">
        <v>422</v>
      </c>
      <c r="R460" s="3" t="s">
        <v>66</v>
      </c>
      <c r="S460" s="4">
        <v>10</v>
      </c>
      <c r="T460" s="4">
        <v>24</v>
      </c>
      <c r="U460" s="5" t="s">
        <v>6011</v>
      </c>
      <c r="V460" s="5" t="s">
        <v>6011</v>
      </c>
      <c r="W460" s="5" t="s">
        <v>6012</v>
      </c>
      <c r="X460" s="5" t="s">
        <v>6013</v>
      </c>
      <c r="Y460" s="4">
        <v>461</v>
      </c>
      <c r="Z460" s="4">
        <v>400</v>
      </c>
      <c r="AA460" s="4">
        <v>407</v>
      </c>
      <c r="AB460" s="4">
        <v>2</v>
      </c>
      <c r="AC460" s="4">
        <v>2</v>
      </c>
      <c r="AD460" s="4">
        <v>20</v>
      </c>
      <c r="AE460" s="4">
        <v>20</v>
      </c>
      <c r="AF460" s="4">
        <v>7</v>
      </c>
      <c r="AG460" s="4">
        <v>7</v>
      </c>
      <c r="AH460" s="4">
        <v>7</v>
      </c>
      <c r="AI460" s="4">
        <v>7</v>
      </c>
      <c r="AJ460" s="4">
        <v>12</v>
      </c>
      <c r="AK460" s="4">
        <v>12</v>
      </c>
      <c r="AL460" s="4">
        <v>1</v>
      </c>
      <c r="AM460" s="4">
        <v>1</v>
      </c>
      <c r="AN460" s="4">
        <v>0</v>
      </c>
      <c r="AO460" s="4">
        <v>0</v>
      </c>
      <c r="AP460" s="3" t="s">
        <v>58</v>
      </c>
      <c r="AQ460" s="3" t="s">
        <v>68</v>
      </c>
      <c r="AR460" s="6" t="str">
        <f>HYPERLINK("http://catalog.hathitrust.org/Record/002371005","HathiTrust Record")</f>
        <v>HathiTrust Record</v>
      </c>
      <c r="AS460" s="6" t="str">
        <f>HYPERLINK("https://creighton-primo.hosted.exlibrisgroup.com/primo-explore/search?tab=default_tab&amp;search_scope=EVERYTHING&amp;vid=01CRU&amp;lang=en_US&amp;offset=0&amp;query=any,contains,991001718509702656","Catalog Record")</f>
        <v>Catalog Record</v>
      </c>
      <c r="AT460" s="6" t="str">
        <f>HYPERLINK("http://www.worldcat.org/oclc/21759202","WorldCat Record")</f>
        <v>WorldCat Record</v>
      </c>
      <c r="AU460" s="3" t="s">
        <v>6014</v>
      </c>
      <c r="AV460" s="3" t="s">
        <v>6015</v>
      </c>
      <c r="AW460" s="3" t="s">
        <v>6016</v>
      </c>
      <c r="AX460" s="3" t="s">
        <v>6016</v>
      </c>
      <c r="AY460" s="3" t="s">
        <v>6017</v>
      </c>
      <c r="AZ460" s="3" t="s">
        <v>73</v>
      </c>
      <c r="BB460" s="3" t="s">
        <v>6018</v>
      </c>
      <c r="BC460" s="3" t="s">
        <v>6019</v>
      </c>
      <c r="BD460" s="3" t="s">
        <v>6020</v>
      </c>
    </row>
    <row r="461" spans="1:56" ht="45" customHeight="1" x14ac:dyDescent="0.25">
      <c r="A461" s="8" t="s">
        <v>58</v>
      </c>
      <c r="B461" s="2" t="s">
        <v>6007</v>
      </c>
      <c r="C461" s="2" t="s">
        <v>6008</v>
      </c>
      <c r="D461" s="2" t="s">
        <v>6009</v>
      </c>
      <c r="E461" s="3" t="s">
        <v>550</v>
      </c>
      <c r="F461" s="3" t="s">
        <v>68</v>
      </c>
      <c r="G461" s="3" t="s">
        <v>59</v>
      </c>
      <c r="H461" s="3" t="s">
        <v>58</v>
      </c>
      <c r="I461" s="3" t="s">
        <v>58</v>
      </c>
      <c r="J461" s="3" t="s">
        <v>60</v>
      </c>
      <c r="L461" s="2" t="s">
        <v>6010</v>
      </c>
      <c r="M461" s="3" t="s">
        <v>538</v>
      </c>
      <c r="O461" s="3" t="s">
        <v>64</v>
      </c>
      <c r="P461" s="3" t="s">
        <v>422</v>
      </c>
      <c r="R461" s="3" t="s">
        <v>66</v>
      </c>
      <c r="S461" s="4">
        <v>14</v>
      </c>
      <c r="T461" s="4">
        <v>24</v>
      </c>
      <c r="U461" s="5" t="s">
        <v>6021</v>
      </c>
      <c r="V461" s="5" t="s">
        <v>6011</v>
      </c>
      <c r="W461" s="5" t="s">
        <v>6013</v>
      </c>
      <c r="X461" s="5" t="s">
        <v>6013</v>
      </c>
      <c r="Y461" s="4">
        <v>461</v>
      </c>
      <c r="Z461" s="4">
        <v>400</v>
      </c>
      <c r="AA461" s="4">
        <v>407</v>
      </c>
      <c r="AB461" s="4">
        <v>2</v>
      </c>
      <c r="AC461" s="4">
        <v>2</v>
      </c>
      <c r="AD461" s="4">
        <v>20</v>
      </c>
      <c r="AE461" s="4">
        <v>20</v>
      </c>
      <c r="AF461" s="4">
        <v>7</v>
      </c>
      <c r="AG461" s="4">
        <v>7</v>
      </c>
      <c r="AH461" s="4">
        <v>7</v>
      </c>
      <c r="AI461" s="4">
        <v>7</v>
      </c>
      <c r="AJ461" s="4">
        <v>12</v>
      </c>
      <c r="AK461" s="4">
        <v>12</v>
      </c>
      <c r="AL461" s="4">
        <v>1</v>
      </c>
      <c r="AM461" s="4">
        <v>1</v>
      </c>
      <c r="AN461" s="4">
        <v>0</v>
      </c>
      <c r="AO461" s="4">
        <v>0</v>
      </c>
      <c r="AP461" s="3" t="s">
        <v>58</v>
      </c>
      <c r="AQ461" s="3" t="s">
        <v>68</v>
      </c>
      <c r="AR461" s="6" t="str">
        <f>HYPERLINK("http://catalog.hathitrust.org/Record/002371005","HathiTrust Record")</f>
        <v>HathiTrust Record</v>
      </c>
      <c r="AS461" s="6" t="str">
        <f>HYPERLINK("https://creighton-primo.hosted.exlibrisgroup.com/primo-explore/search?tab=default_tab&amp;search_scope=EVERYTHING&amp;vid=01CRU&amp;lang=en_US&amp;offset=0&amp;query=any,contains,991001718509702656","Catalog Record")</f>
        <v>Catalog Record</v>
      </c>
      <c r="AT461" s="6" t="str">
        <f>HYPERLINK("http://www.worldcat.org/oclc/21759202","WorldCat Record")</f>
        <v>WorldCat Record</v>
      </c>
      <c r="AU461" s="3" t="s">
        <v>6014</v>
      </c>
      <c r="AV461" s="3" t="s">
        <v>6015</v>
      </c>
      <c r="AW461" s="3" t="s">
        <v>6016</v>
      </c>
      <c r="AX461" s="3" t="s">
        <v>6016</v>
      </c>
      <c r="AY461" s="3" t="s">
        <v>6017</v>
      </c>
      <c r="AZ461" s="3" t="s">
        <v>73</v>
      </c>
      <c r="BB461" s="3" t="s">
        <v>6018</v>
      </c>
      <c r="BC461" s="3" t="s">
        <v>6022</v>
      </c>
      <c r="BD461" s="3" t="s">
        <v>6023</v>
      </c>
    </row>
    <row r="462" spans="1:56" ht="45" customHeight="1" x14ac:dyDescent="0.25">
      <c r="A462" s="8" t="s">
        <v>58</v>
      </c>
      <c r="B462" s="2" t="s">
        <v>6024</v>
      </c>
      <c r="C462" s="2" t="s">
        <v>6025</v>
      </c>
      <c r="D462" s="2" t="s">
        <v>6026</v>
      </c>
      <c r="F462" s="3" t="s">
        <v>58</v>
      </c>
      <c r="G462" s="3" t="s">
        <v>59</v>
      </c>
      <c r="H462" s="3" t="s">
        <v>58</v>
      </c>
      <c r="I462" s="3" t="s">
        <v>58</v>
      </c>
      <c r="J462" s="3" t="s">
        <v>60</v>
      </c>
      <c r="K462" s="2" t="s">
        <v>6027</v>
      </c>
      <c r="L462" s="2" t="s">
        <v>3819</v>
      </c>
      <c r="M462" s="3" t="s">
        <v>1451</v>
      </c>
      <c r="O462" s="3" t="s">
        <v>64</v>
      </c>
      <c r="P462" s="3" t="s">
        <v>177</v>
      </c>
      <c r="R462" s="3" t="s">
        <v>66</v>
      </c>
      <c r="S462" s="4">
        <v>5</v>
      </c>
      <c r="T462" s="4">
        <v>5</v>
      </c>
      <c r="U462" s="5" t="s">
        <v>6028</v>
      </c>
      <c r="V462" s="5" t="s">
        <v>6028</v>
      </c>
      <c r="W462" s="5" t="s">
        <v>6029</v>
      </c>
      <c r="X462" s="5" t="s">
        <v>6029</v>
      </c>
      <c r="Y462" s="4">
        <v>452</v>
      </c>
      <c r="Z462" s="4">
        <v>389</v>
      </c>
      <c r="AA462" s="4">
        <v>458</v>
      </c>
      <c r="AB462" s="4">
        <v>2</v>
      </c>
      <c r="AC462" s="4">
        <v>2</v>
      </c>
      <c r="AD462" s="4">
        <v>17</v>
      </c>
      <c r="AE462" s="4">
        <v>18</v>
      </c>
      <c r="AF462" s="4">
        <v>6</v>
      </c>
      <c r="AG462" s="4">
        <v>7</v>
      </c>
      <c r="AH462" s="4">
        <v>3</v>
      </c>
      <c r="AI462" s="4">
        <v>3</v>
      </c>
      <c r="AJ462" s="4">
        <v>8</v>
      </c>
      <c r="AK462" s="4">
        <v>8</v>
      </c>
      <c r="AL462" s="4">
        <v>1</v>
      </c>
      <c r="AM462" s="4">
        <v>1</v>
      </c>
      <c r="AN462" s="4">
        <v>2</v>
      </c>
      <c r="AO462" s="4">
        <v>2</v>
      </c>
      <c r="AP462" s="3" t="s">
        <v>58</v>
      </c>
      <c r="AQ462" s="3" t="s">
        <v>68</v>
      </c>
      <c r="AR462" s="6" t="str">
        <f>HYPERLINK("http://catalog.hathitrust.org/Record/004027240","HathiTrust Record")</f>
        <v>HathiTrust Record</v>
      </c>
      <c r="AS462" s="6" t="str">
        <f>HYPERLINK("https://creighton-primo.hosted.exlibrisgroup.com/primo-explore/search?tab=default_tab&amp;search_scope=EVERYTHING&amp;vid=01CRU&amp;lang=en_US&amp;offset=0&amp;query=any,contains,991002943289702656","Catalog Record")</f>
        <v>Catalog Record</v>
      </c>
      <c r="AT462" s="6" t="str">
        <f>HYPERLINK("http://www.worldcat.org/oclc/39189782","WorldCat Record")</f>
        <v>WorldCat Record</v>
      </c>
      <c r="AU462" s="3" t="s">
        <v>6030</v>
      </c>
      <c r="AV462" s="3" t="s">
        <v>6031</v>
      </c>
      <c r="AW462" s="3" t="s">
        <v>6032</v>
      </c>
      <c r="AX462" s="3" t="s">
        <v>6032</v>
      </c>
      <c r="AY462" s="3" t="s">
        <v>6033</v>
      </c>
      <c r="AZ462" s="3" t="s">
        <v>73</v>
      </c>
      <c r="BB462" s="3" t="s">
        <v>6034</v>
      </c>
      <c r="BC462" s="3" t="s">
        <v>6035</v>
      </c>
      <c r="BD462" s="3" t="s">
        <v>6036</v>
      </c>
    </row>
    <row r="463" spans="1:56" ht="45" customHeight="1" x14ac:dyDescent="0.25">
      <c r="A463" s="8" t="s">
        <v>58</v>
      </c>
      <c r="B463" s="2" t="s">
        <v>6037</v>
      </c>
      <c r="C463" s="2" t="s">
        <v>6038</v>
      </c>
      <c r="D463" s="2" t="s">
        <v>6039</v>
      </c>
      <c r="F463" s="3" t="s">
        <v>58</v>
      </c>
      <c r="G463" s="3" t="s">
        <v>59</v>
      </c>
      <c r="H463" s="3" t="s">
        <v>58</v>
      </c>
      <c r="I463" s="3" t="s">
        <v>58</v>
      </c>
      <c r="J463" s="3" t="s">
        <v>60</v>
      </c>
      <c r="L463" s="2" t="s">
        <v>6040</v>
      </c>
      <c r="M463" s="3" t="s">
        <v>146</v>
      </c>
      <c r="O463" s="3" t="s">
        <v>64</v>
      </c>
      <c r="P463" s="3" t="s">
        <v>177</v>
      </c>
      <c r="Q463" s="2" t="s">
        <v>5821</v>
      </c>
      <c r="R463" s="3" t="s">
        <v>66</v>
      </c>
      <c r="S463" s="4">
        <v>13</v>
      </c>
      <c r="T463" s="4">
        <v>13</v>
      </c>
      <c r="U463" s="5" t="s">
        <v>6041</v>
      </c>
      <c r="V463" s="5" t="s">
        <v>6041</v>
      </c>
      <c r="W463" s="5" t="s">
        <v>1453</v>
      </c>
      <c r="X463" s="5" t="s">
        <v>1453</v>
      </c>
      <c r="Y463" s="4">
        <v>466</v>
      </c>
      <c r="Z463" s="4">
        <v>377</v>
      </c>
      <c r="AA463" s="4">
        <v>402</v>
      </c>
      <c r="AB463" s="4">
        <v>3</v>
      </c>
      <c r="AC463" s="4">
        <v>3</v>
      </c>
      <c r="AD463" s="4">
        <v>18</v>
      </c>
      <c r="AE463" s="4">
        <v>19</v>
      </c>
      <c r="AF463" s="4">
        <v>9</v>
      </c>
      <c r="AG463" s="4">
        <v>10</v>
      </c>
      <c r="AH463" s="4">
        <v>3</v>
      </c>
      <c r="AI463" s="4">
        <v>3</v>
      </c>
      <c r="AJ463" s="4">
        <v>11</v>
      </c>
      <c r="AK463" s="4">
        <v>12</v>
      </c>
      <c r="AL463" s="4">
        <v>2</v>
      </c>
      <c r="AM463" s="4">
        <v>2</v>
      </c>
      <c r="AN463" s="4">
        <v>0</v>
      </c>
      <c r="AO463" s="4">
        <v>0</v>
      </c>
      <c r="AP463" s="3" t="s">
        <v>58</v>
      </c>
      <c r="AQ463" s="3" t="s">
        <v>68</v>
      </c>
      <c r="AR463" s="6" t="str">
        <f>HYPERLINK("http://catalog.hathitrust.org/Record/003180743","HathiTrust Record")</f>
        <v>HathiTrust Record</v>
      </c>
      <c r="AS463" s="6" t="str">
        <f>HYPERLINK("https://creighton-primo.hosted.exlibrisgroup.com/primo-explore/search?tab=default_tab&amp;search_scope=EVERYTHING&amp;vid=01CRU&amp;lang=en_US&amp;offset=0&amp;query=any,contains,991002805499702656","Catalog Record")</f>
        <v>Catalog Record</v>
      </c>
      <c r="AT463" s="6" t="str">
        <f>HYPERLINK("http://www.worldcat.org/oclc/36848131","WorldCat Record")</f>
        <v>WorldCat Record</v>
      </c>
      <c r="AU463" s="3" t="s">
        <v>6042</v>
      </c>
      <c r="AV463" s="3" t="s">
        <v>6043</v>
      </c>
      <c r="AW463" s="3" t="s">
        <v>6044</v>
      </c>
      <c r="AX463" s="3" t="s">
        <v>6044</v>
      </c>
      <c r="AY463" s="3" t="s">
        <v>6045</v>
      </c>
      <c r="AZ463" s="3" t="s">
        <v>73</v>
      </c>
      <c r="BB463" s="3" t="s">
        <v>6046</v>
      </c>
      <c r="BC463" s="3" t="s">
        <v>6047</v>
      </c>
      <c r="BD463" s="3" t="s">
        <v>6048</v>
      </c>
    </row>
    <row r="464" spans="1:56" ht="45" customHeight="1" x14ac:dyDescent="0.25">
      <c r="A464" s="8" t="s">
        <v>58</v>
      </c>
      <c r="B464" s="2" t="s">
        <v>6049</v>
      </c>
      <c r="C464" s="2" t="s">
        <v>6050</v>
      </c>
      <c r="D464" s="2" t="s">
        <v>6051</v>
      </c>
      <c r="F464" s="3" t="s">
        <v>58</v>
      </c>
      <c r="G464" s="3" t="s">
        <v>59</v>
      </c>
      <c r="H464" s="3" t="s">
        <v>58</v>
      </c>
      <c r="I464" s="3" t="s">
        <v>58</v>
      </c>
      <c r="J464" s="3" t="s">
        <v>60</v>
      </c>
      <c r="L464" s="2" t="s">
        <v>6052</v>
      </c>
      <c r="M464" s="3" t="s">
        <v>1181</v>
      </c>
      <c r="O464" s="3" t="s">
        <v>64</v>
      </c>
      <c r="P464" s="3" t="s">
        <v>250</v>
      </c>
      <c r="R464" s="3" t="s">
        <v>66</v>
      </c>
      <c r="S464" s="4">
        <v>7</v>
      </c>
      <c r="T464" s="4">
        <v>7</v>
      </c>
      <c r="U464" s="5" t="s">
        <v>2901</v>
      </c>
      <c r="V464" s="5" t="s">
        <v>2901</v>
      </c>
      <c r="W464" s="5" t="s">
        <v>6053</v>
      </c>
      <c r="X464" s="5" t="s">
        <v>6053</v>
      </c>
      <c r="Y464" s="4">
        <v>215</v>
      </c>
      <c r="Z464" s="4">
        <v>175</v>
      </c>
      <c r="AA464" s="4">
        <v>214</v>
      </c>
      <c r="AB464" s="4">
        <v>3</v>
      </c>
      <c r="AC464" s="4">
        <v>3</v>
      </c>
      <c r="AD464" s="4">
        <v>9</v>
      </c>
      <c r="AE464" s="4">
        <v>9</v>
      </c>
      <c r="AF464" s="4">
        <v>3</v>
      </c>
      <c r="AG464" s="4">
        <v>3</v>
      </c>
      <c r="AH464" s="4">
        <v>2</v>
      </c>
      <c r="AI464" s="4">
        <v>2</v>
      </c>
      <c r="AJ464" s="4">
        <v>4</v>
      </c>
      <c r="AK464" s="4">
        <v>4</v>
      </c>
      <c r="AL464" s="4">
        <v>2</v>
      </c>
      <c r="AM464" s="4">
        <v>2</v>
      </c>
      <c r="AN464" s="4">
        <v>0</v>
      </c>
      <c r="AO464" s="4">
        <v>0</v>
      </c>
      <c r="AP464" s="3" t="s">
        <v>58</v>
      </c>
      <c r="AQ464" s="3" t="s">
        <v>58</v>
      </c>
      <c r="AS464" s="6" t="str">
        <f>HYPERLINK("https://creighton-primo.hosted.exlibrisgroup.com/primo-explore/search?tab=default_tab&amp;search_scope=EVERYTHING&amp;vid=01CRU&amp;lang=en_US&amp;offset=0&amp;query=any,contains,991001910419702656","Catalog Record")</f>
        <v>Catalog Record</v>
      </c>
      <c r="AT464" s="6" t="str">
        <f>HYPERLINK("http://www.worldcat.org/oclc/24141691","WorldCat Record")</f>
        <v>WorldCat Record</v>
      </c>
      <c r="AU464" s="3" t="s">
        <v>6054</v>
      </c>
      <c r="AV464" s="3" t="s">
        <v>6055</v>
      </c>
      <c r="AW464" s="3" t="s">
        <v>6056</v>
      </c>
      <c r="AX464" s="3" t="s">
        <v>6056</v>
      </c>
      <c r="AY464" s="3" t="s">
        <v>6057</v>
      </c>
      <c r="AZ464" s="3" t="s">
        <v>73</v>
      </c>
      <c r="BB464" s="3" t="s">
        <v>6058</v>
      </c>
      <c r="BC464" s="3" t="s">
        <v>6059</v>
      </c>
      <c r="BD464" s="3" t="s">
        <v>6060</v>
      </c>
    </row>
    <row r="465" spans="1:56" ht="45" customHeight="1" x14ac:dyDescent="0.25">
      <c r="A465" s="8" t="s">
        <v>58</v>
      </c>
      <c r="B465" s="2" t="s">
        <v>6061</v>
      </c>
      <c r="C465" s="2" t="s">
        <v>6062</v>
      </c>
      <c r="D465" s="2" t="s">
        <v>6063</v>
      </c>
      <c r="F465" s="3" t="s">
        <v>58</v>
      </c>
      <c r="G465" s="3" t="s">
        <v>59</v>
      </c>
      <c r="H465" s="3" t="s">
        <v>58</v>
      </c>
      <c r="I465" s="3" t="s">
        <v>68</v>
      </c>
      <c r="J465" s="3" t="s">
        <v>60</v>
      </c>
      <c r="L465" s="2" t="s">
        <v>6064</v>
      </c>
      <c r="M465" s="3" t="s">
        <v>1181</v>
      </c>
      <c r="O465" s="3" t="s">
        <v>64</v>
      </c>
      <c r="P465" s="3" t="s">
        <v>984</v>
      </c>
      <c r="R465" s="3" t="s">
        <v>66</v>
      </c>
      <c r="S465" s="4">
        <v>7</v>
      </c>
      <c r="T465" s="4">
        <v>7</v>
      </c>
      <c r="U465" s="5" t="s">
        <v>6065</v>
      </c>
      <c r="V465" s="5" t="s">
        <v>6065</v>
      </c>
      <c r="W465" s="5" t="s">
        <v>6066</v>
      </c>
      <c r="X465" s="5" t="s">
        <v>6066</v>
      </c>
      <c r="Y465" s="4">
        <v>129</v>
      </c>
      <c r="Z465" s="4">
        <v>101</v>
      </c>
      <c r="AA465" s="4">
        <v>204</v>
      </c>
      <c r="AB465" s="4">
        <v>1</v>
      </c>
      <c r="AC465" s="4">
        <v>2</v>
      </c>
      <c r="AD465" s="4">
        <v>2</v>
      </c>
      <c r="AE465" s="4">
        <v>5</v>
      </c>
      <c r="AF465" s="4">
        <v>0</v>
      </c>
      <c r="AG465" s="4">
        <v>1</v>
      </c>
      <c r="AH465" s="4">
        <v>0</v>
      </c>
      <c r="AI465" s="4">
        <v>1</v>
      </c>
      <c r="AJ465" s="4">
        <v>2</v>
      </c>
      <c r="AK465" s="4">
        <v>3</v>
      </c>
      <c r="AL465" s="4">
        <v>0</v>
      </c>
      <c r="AM465" s="4">
        <v>0</v>
      </c>
      <c r="AN465" s="4">
        <v>0</v>
      </c>
      <c r="AO465" s="4">
        <v>0</v>
      </c>
      <c r="AP465" s="3" t="s">
        <v>58</v>
      </c>
      <c r="AQ465" s="3" t="s">
        <v>58</v>
      </c>
      <c r="AS465" s="6" t="str">
        <f>HYPERLINK("https://creighton-primo.hosted.exlibrisgroup.com/primo-explore/search?tab=default_tab&amp;search_scope=EVERYTHING&amp;vid=01CRU&amp;lang=en_US&amp;offset=0&amp;query=any,contains,991001993449702656","Catalog Record")</f>
        <v>Catalog Record</v>
      </c>
      <c r="AT465" s="6" t="str">
        <f>HYPERLINK("http://www.worldcat.org/oclc/25317080","WorldCat Record")</f>
        <v>WorldCat Record</v>
      </c>
      <c r="AU465" s="3" t="s">
        <v>6067</v>
      </c>
      <c r="AV465" s="3" t="s">
        <v>6068</v>
      </c>
      <c r="AW465" s="3" t="s">
        <v>6069</v>
      </c>
      <c r="AX465" s="3" t="s">
        <v>6069</v>
      </c>
      <c r="AY465" s="3" t="s">
        <v>6070</v>
      </c>
      <c r="AZ465" s="3" t="s">
        <v>73</v>
      </c>
      <c r="BB465" s="3" t="s">
        <v>6071</v>
      </c>
      <c r="BC465" s="3" t="s">
        <v>6072</v>
      </c>
      <c r="BD465" s="3" t="s">
        <v>6073</v>
      </c>
    </row>
    <row r="466" spans="1:56" ht="45" customHeight="1" x14ac:dyDescent="0.25">
      <c r="A466" s="8" t="s">
        <v>58</v>
      </c>
      <c r="B466" s="2" t="s">
        <v>6074</v>
      </c>
      <c r="C466" s="2" t="s">
        <v>6075</v>
      </c>
      <c r="D466" s="2" t="s">
        <v>6076</v>
      </c>
      <c r="F466" s="3" t="s">
        <v>58</v>
      </c>
      <c r="G466" s="3" t="s">
        <v>59</v>
      </c>
      <c r="H466" s="3" t="s">
        <v>58</v>
      </c>
      <c r="I466" s="3" t="s">
        <v>58</v>
      </c>
      <c r="J466" s="3" t="s">
        <v>60</v>
      </c>
      <c r="L466" s="2" t="s">
        <v>6077</v>
      </c>
      <c r="M466" s="3" t="s">
        <v>480</v>
      </c>
      <c r="O466" s="3" t="s">
        <v>64</v>
      </c>
      <c r="P466" s="3" t="s">
        <v>177</v>
      </c>
      <c r="R466" s="3" t="s">
        <v>66</v>
      </c>
      <c r="S466" s="4">
        <v>3</v>
      </c>
      <c r="T466" s="4">
        <v>3</v>
      </c>
      <c r="U466" s="5" t="s">
        <v>6078</v>
      </c>
      <c r="V466" s="5" t="s">
        <v>6078</v>
      </c>
      <c r="W466" s="5" t="s">
        <v>5959</v>
      </c>
      <c r="X466" s="5" t="s">
        <v>5959</v>
      </c>
      <c r="Y466" s="4">
        <v>212</v>
      </c>
      <c r="Z466" s="4">
        <v>160</v>
      </c>
      <c r="AA466" s="4">
        <v>209</v>
      </c>
      <c r="AB466" s="4">
        <v>2</v>
      </c>
      <c r="AC466" s="4">
        <v>2</v>
      </c>
      <c r="AD466" s="4">
        <v>3</v>
      </c>
      <c r="AE466" s="4">
        <v>5</v>
      </c>
      <c r="AF466" s="4">
        <v>0</v>
      </c>
      <c r="AG466" s="4">
        <v>1</v>
      </c>
      <c r="AH466" s="4">
        <v>1</v>
      </c>
      <c r="AI466" s="4">
        <v>2</v>
      </c>
      <c r="AJ466" s="4">
        <v>1</v>
      </c>
      <c r="AK466" s="4">
        <v>1</v>
      </c>
      <c r="AL466" s="4">
        <v>1</v>
      </c>
      <c r="AM466" s="4">
        <v>1</v>
      </c>
      <c r="AN466" s="4">
        <v>0</v>
      </c>
      <c r="AO466" s="4">
        <v>0</v>
      </c>
      <c r="AP466" s="3" t="s">
        <v>58</v>
      </c>
      <c r="AQ466" s="3" t="s">
        <v>68</v>
      </c>
      <c r="AR466" s="6" t="str">
        <f>HYPERLINK("http://catalog.hathitrust.org/Record/004417124","HathiTrust Record")</f>
        <v>HathiTrust Record</v>
      </c>
      <c r="AS466" s="6" t="str">
        <f>HYPERLINK("https://creighton-primo.hosted.exlibrisgroup.com/primo-explore/search?tab=default_tab&amp;search_scope=EVERYTHING&amp;vid=01CRU&amp;lang=en_US&amp;offset=0&amp;query=any,contains,991005244729702656","Catalog Record")</f>
        <v>Catalog Record</v>
      </c>
      <c r="AT466" s="6" t="str">
        <f>HYPERLINK("http://www.worldcat.org/oclc/8451624","WorldCat Record")</f>
        <v>WorldCat Record</v>
      </c>
      <c r="AU466" s="3" t="s">
        <v>6079</v>
      </c>
      <c r="AV466" s="3" t="s">
        <v>6080</v>
      </c>
      <c r="AW466" s="3" t="s">
        <v>6081</v>
      </c>
      <c r="AX466" s="3" t="s">
        <v>6081</v>
      </c>
      <c r="AY466" s="3" t="s">
        <v>6082</v>
      </c>
      <c r="AZ466" s="3" t="s">
        <v>73</v>
      </c>
      <c r="BB466" s="3" t="s">
        <v>6083</v>
      </c>
      <c r="BC466" s="3" t="s">
        <v>6084</v>
      </c>
      <c r="BD466" s="3" t="s">
        <v>6085</v>
      </c>
    </row>
    <row r="467" spans="1:56" ht="45" customHeight="1" x14ac:dyDescent="0.25">
      <c r="A467" s="8" t="s">
        <v>58</v>
      </c>
      <c r="B467" s="2" t="s">
        <v>6086</v>
      </c>
      <c r="C467" s="2" t="s">
        <v>6087</v>
      </c>
      <c r="D467" s="2" t="s">
        <v>6088</v>
      </c>
      <c r="F467" s="3" t="s">
        <v>58</v>
      </c>
      <c r="G467" s="3" t="s">
        <v>59</v>
      </c>
      <c r="H467" s="3" t="s">
        <v>68</v>
      </c>
      <c r="I467" s="3" t="s">
        <v>58</v>
      </c>
      <c r="J467" s="3" t="s">
        <v>60</v>
      </c>
      <c r="L467" s="2" t="s">
        <v>6089</v>
      </c>
      <c r="M467" s="3" t="s">
        <v>509</v>
      </c>
      <c r="O467" s="3" t="s">
        <v>64</v>
      </c>
      <c r="P467" s="3" t="s">
        <v>177</v>
      </c>
      <c r="R467" s="3" t="s">
        <v>66</v>
      </c>
      <c r="S467" s="4">
        <v>1</v>
      </c>
      <c r="T467" s="4">
        <v>5</v>
      </c>
      <c r="V467" s="5" t="s">
        <v>6090</v>
      </c>
      <c r="W467" s="5" t="s">
        <v>5027</v>
      </c>
      <c r="X467" s="5" t="s">
        <v>5027</v>
      </c>
      <c r="Y467" s="4">
        <v>164</v>
      </c>
      <c r="Z467" s="4">
        <v>136</v>
      </c>
      <c r="AA467" s="4">
        <v>140</v>
      </c>
      <c r="AB467" s="4">
        <v>2</v>
      </c>
      <c r="AC467" s="4">
        <v>2</v>
      </c>
      <c r="AD467" s="4">
        <v>3</v>
      </c>
      <c r="AE467" s="4">
        <v>3</v>
      </c>
      <c r="AF467" s="4">
        <v>0</v>
      </c>
      <c r="AG467" s="4">
        <v>0</v>
      </c>
      <c r="AH467" s="4">
        <v>2</v>
      </c>
      <c r="AI467" s="4">
        <v>2</v>
      </c>
      <c r="AJ467" s="4">
        <v>2</v>
      </c>
      <c r="AK467" s="4">
        <v>2</v>
      </c>
      <c r="AL467" s="4">
        <v>0</v>
      </c>
      <c r="AM467" s="4">
        <v>0</v>
      </c>
      <c r="AN467" s="4">
        <v>0</v>
      </c>
      <c r="AO467" s="4">
        <v>0</v>
      </c>
      <c r="AP467" s="3" t="s">
        <v>58</v>
      </c>
      <c r="AQ467" s="3" t="s">
        <v>58</v>
      </c>
      <c r="AS467" s="6" t="str">
        <f>HYPERLINK("https://creighton-primo.hosted.exlibrisgroup.com/primo-explore/search?tab=default_tab&amp;search_scope=EVERYTHING&amp;vid=01CRU&amp;lang=en_US&amp;offset=0&amp;query=any,contains,991001791849702656","Catalog Record")</f>
        <v>Catalog Record</v>
      </c>
      <c r="AT467" s="6" t="str">
        <f>HYPERLINK("http://www.worldcat.org/oclc/32464999","WorldCat Record")</f>
        <v>WorldCat Record</v>
      </c>
      <c r="AU467" s="3" t="s">
        <v>6091</v>
      </c>
      <c r="AV467" s="3" t="s">
        <v>6092</v>
      </c>
      <c r="AW467" s="3" t="s">
        <v>6093</v>
      </c>
      <c r="AX467" s="3" t="s">
        <v>6093</v>
      </c>
      <c r="AY467" s="3" t="s">
        <v>6094</v>
      </c>
      <c r="AZ467" s="3" t="s">
        <v>73</v>
      </c>
      <c r="BB467" s="3" t="s">
        <v>6095</v>
      </c>
      <c r="BC467" s="3" t="s">
        <v>6096</v>
      </c>
      <c r="BD467" s="3" t="s">
        <v>6097</v>
      </c>
    </row>
    <row r="468" spans="1:56" ht="45" customHeight="1" x14ac:dyDescent="0.25">
      <c r="A468" s="8" t="s">
        <v>58</v>
      </c>
      <c r="B468" s="2" t="s">
        <v>6098</v>
      </c>
      <c r="C468" s="2" t="s">
        <v>6099</v>
      </c>
      <c r="D468" s="2" t="s">
        <v>6100</v>
      </c>
      <c r="F468" s="3" t="s">
        <v>58</v>
      </c>
      <c r="G468" s="3" t="s">
        <v>59</v>
      </c>
      <c r="H468" s="3" t="s">
        <v>68</v>
      </c>
      <c r="I468" s="3" t="s">
        <v>58</v>
      </c>
      <c r="J468" s="3" t="s">
        <v>60</v>
      </c>
      <c r="K468" s="2" t="s">
        <v>6101</v>
      </c>
      <c r="L468" s="2" t="s">
        <v>6102</v>
      </c>
      <c r="M468" s="3" t="s">
        <v>480</v>
      </c>
      <c r="O468" s="3" t="s">
        <v>64</v>
      </c>
      <c r="P468" s="3" t="s">
        <v>422</v>
      </c>
      <c r="R468" s="3" t="s">
        <v>66</v>
      </c>
      <c r="S468" s="4">
        <v>25</v>
      </c>
      <c r="T468" s="4">
        <v>25</v>
      </c>
      <c r="U468" s="5" t="s">
        <v>5027</v>
      </c>
      <c r="V468" s="5" t="s">
        <v>5027</v>
      </c>
      <c r="W468" s="5" t="s">
        <v>6103</v>
      </c>
      <c r="X468" s="5" t="s">
        <v>6103</v>
      </c>
      <c r="Y468" s="4">
        <v>647</v>
      </c>
      <c r="Z468" s="4">
        <v>583</v>
      </c>
      <c r="AA468" s="4">
        <v>599</v>
      </c>
      <c r="AB468" s="4">
        <v>13</v>
      </c>
      <c r="AC468" s="4">
        <v>13</v>
      </c>
      <c r="AD468" s="4">
        <v>8</v>
      </c>
      <c r="AE468" s="4">
        <v>10</v>
      </c>
      <c r="AF468" s="4">
        <v>3</v>
      </c>
      <c r="AG468" s="4">
        <v>4</v>
      </c>
      <c r="AH468" s="4">
        <v>1</v>
      </c>
      <c r="AI468" s="4">
        <v>2</v>
      </c>
      <c r="AJ468" s="4">
        <v>4</v>
      </c>
      <c r="AK468" s="4">
        <v>4</v>
      </c>
      <c r="AL468" s="4">
        <v>3</v>
      </c>
      <c r="AM468" s="4">
        <v>3</v>
      </c>
      <c r="AN468" s="4">
        <v>0</v>
      </c>
      <c r="AO468" s="4">
        <v>0</v>
      </c>
      <c r="AP468" s="3" t="s">
        <v>58</v>
      </c>
      <c r="AQ468" s="3" t="s">
        <v>68</v>
      </c>
      <c r="AR468" s="6" t="str">
        <f>HYPERLINK("http://catalog.hathitrust.org/Record/000101174","HathiTrust Record")</f>
        <v>HathiTrust Record</v>
      </c>
      <c r="AS468" s="6" t="str">
        <f>HYPERLINK("https://creighton-primo.hosted.exlibrisgroup.com/primo-explore/search?tab=default_tab&amp;search_scope=EVERYTHING&amp;vid=01CRU&amp;lang=en_US&amp;offset=0&amp;query=any,contains,991005225129702656","Catalog Record")</f>
        <v>Catalog Record</v>
      </c>
      <c r="AT468" s="6" t="str">
        <f>HYPERLINK("http://www.worldcat.org/oclc/8280586","WorldCat Record")</f>
        <v>WorldCat Record</v>
      </c>
      <c r="AU468" s="3" t="s">
        <v>6104</v>
      </c>
      <c r="AV468" s="3" t="s">
        <v>6105</v>
      </c>
      <c r="AW468" s="3" t="s">
        <v>6106</v>
      </c>
      <c r="AX468" s="3" t="s">
        <v>6106</v>
      </c>
      <c r="AY468" s="3" t="s">
        <v>6107</v>
      </c>
      <c r="AZ468" s="3" t="s">
        <v>73</v>
      </c>
      <c r="BB468" s="3" t="s">
        <v>6108</v>
      </c>
      <c r="BC468" s="3" t="s">
        <v>6109</v>
      </c>
      <c r="BD468" s="3" t="s">
        <v>6110</v>
      </c>
    </row>
    <row r="469" spans="1:56" ht="45" customHeight="1" x14ac:dyDescent="0.25">
      <c r="A469" s="8" t="s">
        <v>58</v>
      </c>
      <c r="B469" s="2" t="s">
        <v>6111</v>
      </c>
      <c r="C469" s="2" t="s">
        <v>6112</v>
      </c>
      <c r="D469" s="2" t="s">
        <v>6113</v>
      </c>
      <c r="F469" s="3" t="s">
        <v>58</v>
      </c>
      <c r="G469" s="3" t="s">
        <v>59</v>
      </c>
      <c r="H469" s="3" t="s">
        <v>68</v>
      </c>
      <c r="I469" s="3" t="s">
        <v>58</v>
      </c>
      <c r="J469" s="3" t="s">
        <v>60</v>
      </c>
      <c r="K469" s="2" t="s">
        <v>6114</v>
      </c>
      <c r="L469" s="2" t="s">
        <v>6115</v>
      </c>
      <c r="M469" s="3" t="s">
        <v>494</v>
      </c>
      <c r="O469" s="3" t="s">
        <v>64</v>
      </c>
      <c r="P469" s="3" t="s">
        <v>114</v>
      </c>
      <c r="Q469" s="2" t="s">
        <v>6116</v>
      </c>
      <c r="R469" s="3" t="s">
        <v>66</v>
      </c>
      <c r="S469" s="4">
        <v>20</v>
      </c>
      <c r="T469" s="4">
        <v>20</v>
      </c>
      <c r="U469" s="5" t="s">
        <v>6117</v>
      </c>
      <c r="V469" s="5" t="s">
        <v>6117</v>
      </c>
      <c r="W469" s="5" t="s">
        <v>85</v>
      </c>
      <c r="X469" s="5" t="s">
        <v>6118</v>
      </c>
      <c r="Y469" s="4">
        <v>986</v>
      </c>
      <c r="Z469" s="4">
        <v>800</v>
      </c>
      <c r="AA469" s="4">
        <v>817</v>
      </c>
      <c r="AB469" s="4">
        <v>6</v>
      </c>
      <c r="AC469" s="4">
        <v>6</v>
      </c>
      <c r="AD469" s="4">
        <v>33</v>
      </c>
      <c r="AE469" s="4">
        <v>33</v>
      </c>
      <c r="AF469" s="4">
        <v>10</v>
      </c>
      <c r="AG469" s="4">
        <v>10</v>
      </c>
      <c r="AH469" s="4">
        <v>7</v>
      </c>
      <c r="AI469" s="4">
        <v>7</v>
      </c>
      <c r="AJ469" s="4">
        <v>13</v>
      </c>
      <c r="AK469" s="4">
        <v>13</v>
      </c>
      <c r="AL469" s="4">
        <v>3</v>
      </c>
      <c r="AM469" s="4">
        <v>3</v>
      </c>
      <c r="AN469" s="4">
        <v>6</v>
      </c>
      <c r="AO469" s="4">
        <v>6</v>
      </c>
      <c r="AP469" s="3" t="s">
        <v>58</v>
      </c>
      <c r="AQ469" s="3" t="s">
        <v>68</v>
      </c>
      <c r="AR469" s="6" t="str">
        <f>HYPERLINK("http://catalog.hathitrust.org/Record/000587581","HathiTrust Record")</f>
        <v>HathiTrust Record</v>
      </c>
      <c r="AS469" s="6" t="str">
        <f>HYPERLINK("https://creighton-primo.hosted.exlibrisgroup.com/primo-explore/search?tab=default_tab&amp;search_scope=EVERYTHING&amp;vid=01CRU&amp;lang=en_US&amp;offset=0&amp;query=any,contains,991001681959702656","Catalog Record")</f>
        <v>Catalog Record</v>
      </c>
      <c r="AT469" s="6" t="str">
        <f>HYPERLINK("http://www.worldcat.org/oclc/11756332","WorldCat Record")</f>
        <v>WorldCat Record</v>
      </c>
      <c r="AU469" s="3" t="s">
        <v>6119</v>
      </c>
      <c r="AV469" s="3" t="s">
        <v>6120</v>
      </c>
      <c r="AW469" s="3" t="s">
        <v>6121</v>
      </c>
      <c r="AX469" s="3" t="s">
        <v>6121</v>
      </c>
      <c r="AY469" s="3" t="s">
        <v>6122</v>
      </c>
      <c r="AZ469" s="3" t="s">
        <v>73</v>
      </c>
      <c r="BB469" s="3" t="s">
        <v>6123</v>
      </c>
      <c r="BC469" s="3" t="s">
        <v>6124</v>
      </c>
      <c r="BD469" s="3" t="s">
        <v>6125</v>
      </c>
    </row>
    <row r="470" spans="1:56" ht="45" customHeight="1" x14ac:dyDescent="0.25">
      <c r="A470" s="8" t="s">
        <v>58</v>
      </c>
      <c r="B470" s="2" t="s">
        <v>6126</v>
      </c>
      <c r="C470" s="2" t="s">
        <v>6127</v>
      </c>
      <c r="D470" s="2" t="s">
        <v>6128</v>
      </c>
      <c r="F470" s="3" t="s">
        <v>58</v>
      </c>
      <c r="G470" s="3" t="s">
        <v>59</v>
      </c>
      <c r="H470" s="3" t="s">
        <v>58</v>
      </c>
      <c r="I470" s="3" t="s">
        <v>58</v>
      </c>
      <c r="J470" s="3" t="s">
        <v>60</v>
      </c>
      <c r="K470" s="2" t="s">
        <v>6129</v>
      </c>
      <c r="L470" s="2" t="s">
        <v>6130</v>
      </c>
      <c r="M470" s="3" t="s">
        <v>291</v>
      </c>
      <c r="O470" s="3" t="s">
        <v>64</v>
      </c>
      <c r="P470" s="3" t="s">
        <v>147</v>
      </c>
      <c r="Q470" s="2" t="s">
        <v>6131</v>
      </c>
      <c r="R470" s="3" t="s">
        <v>66</v>
      </c>
      <c r="S470" s="4">
        <v>4</v>
      </c>
      <c r="T470" s="4">
        <v>4</v>
      </c>
      <c r="U470" s="5" t="s">
        <v>6132</v>
      </c>
      <c r="V470" s="5" t="s">
        <v>6132</v>
      </c>
      <c r="W470" s="5" t="s">
        <v>1085</v>
      </c>
      <c r="X470" s="5" t="s">
        <v>1085</v>
      </c>
      <c r="Y470" s="4">
        <v>341</v>
      </c>
      <c r="Z470" s="4">
        <v>281</v>
      </c>
      <c r="AA470" s="4">
        <v>289</v>
      </c>
      <c r="AB470" s="4">
        <v>2</v>
      </c>
      <c r="AC470" s="4">
        <v>2</v>
      </c>
      <c r="AD470" s="4">
        <v>7</v>
      </c>
      <c r="AE470" s="4">
        <v>7</v>
      </c>
      <c r="AF470" s="4">
        <v>3</v>
      </c>
      <c r="AG470" s="4">
        <v>3</v>
      </c>
      <c r="AH470" s="4">
        <v>2</v>
      </c>
      <c r="AI470" s="4">
        <v>2</v>
      </c>
      <c r="AJ470" s="4">
        <v>3</v>
      </c>
      <c r="AK470" s="4">
        <v>3</v>
      </c>
      <c r="AL470" s="4">
        <v>1</v>
      </c>
      <c r="AM470" s="4">
        <v>1</v>
      </c>
      <c r="AN470" s="4">
        <v>0</v>
      </c>
      <c r="AO470" s="4">
        <v>0</v>
      </c>
      <c r="AP470" s="3" t="s">
        <v>58</v>
      </c>
      <c r="AQ470" s="3" t="s">
        <v>68</v>
      </c>
      <c r="AR470" s="6" t="str">
        <f>HYPERLINK("http://catalog.hathitrust.org/Record/000270011","HathiTrust Record")</f>
        <v>HathiTrust Record</v>
      </c>
      <c r="AS470" s="6" t="str">
        <f>HYPERLINK("https://creighton-primo.hosted.exlibrisgroup.com/primo-explore/search?tab=default_tab&amp;search_scope=EVERYTHING&amp;vid=01CRU&amp;lang=en_US&amp;offset=0&amp;query=any,contains,991005201349702656","Catalog Record")</f>
        <v>Catalog Record</v>
      </c>
      <c r="AT470" s="6" t="str">
        <f>HYPERLINK("http://www.worldcat.org/oclc/8085582","WorldCat Record")</f>
        <v>WorldCat Record</v>
      </c>
      <c r="AU470" s="3" t="s">
        <v>6133</v>
      </c>
      <c r="AV470" s="3" t="s">
        <v>6134</v>
      </c>
      <c r="AW470" s="3" t="s">
        <v>6135</v>
      </c>
      <c r="AX470" s="3" t="s">
        <v>6135</v>
      </c>
      <c r="AY470" s="3" t="s">
        <v>6136</v>
      </c>
      <c r="AZ470" s="3" t="s">
        <v>73</v>
      </c>
      <c r="BB470" s="3" t="s">
        <v>6137</v>
      </c>
      <c r="BC470" s="3" t="s">
        <v>6138</v>
      </c>
      <c r="BD470" s="3" t="s">
        <v>6139</v>
      </c>
    </row>
    <row r="471" spans="1:56" ht="45" customHeight="1" x14ac:dyDescent="0.25">
      <c r="A471" s="8" t="s">
        <v>58</v>
      </c>
      <c r="B471" s="2" t="s">
        <v>6140</v>
      </c>
      <c r="C471" s="2" t="s">
        <v>6141</v>
      </c>
      <c r="D471" s="2" t="s">
        <v>6142</v>
      </c>
      <c r="F471" s="3" t="s">
        <v>58</v>
      </c>
      <c r="G471" s="3" t="s">
        <v>59</v>
      </c>
      <c r="H471" s="3" t="s">
        <v>58</v>
      </c>
      <c r="I471" s="3" t="s">
        <v>58</v>
      </c>
      <c r="J471" s="3" t="s">
        <v>60</v>
      </c>
      <c r="K471" s="2" t="s">
        <v>6143</v>
      </c>
      <c r="L471" s="2" t="s">
        <v>6144</v>
      </c>
      <c r="M471" s="3" t="s">
        <v>552</v>
      </c>
      <c r="O471" s="3" t="s">
        <v>64</v>
      </c>
      <c r="P471" s="3" t="s">
        <v>65</v>
      </c>
      <c r="Q471" s="2" t="s">
        <v>6145</v>
      </c>
      <c r="R471" s="3" t="s">
        <v>66</v>
      </c>
      <c r="S471" s="4">
        <v>1</v>
      </c>
      <c r="T471" s="4">
        <v>1</v>
      </c>
      <c r="U471" s="5" t="s">
        <v>6146</v>
      </c>
      <c r="V471" s="5" t="s">
        <v>6146</v>
      </c>
      <c r="W471" s="5" t="s">
        <v>252</v>
      </c>
      <c r="X471" s="5" t="s">
        <v>252</v>
      </c>
      <c r="Y471" s="4">
        <v>461</v>
      </c>
      <c r="Z471" s="4">
        <v>421</v>
      </c>
      <c r="AA471" s="4">
        <v>428</v>
      </c>
      <c r="AB471" s="4">
        <v>4</v>
      </c>
      <c r="AC471" s="4">
        <v>4</v>
      </c>
      <c r="AD471" s="4">
        <v>16</v>
      </c>
      <c r="AE471" s="4">
        <v>16</v>
      </c>
      <c r="AF471" s="4">
        <v>2</v>
      </c>
      <c r="AG471" s="4">
        <v>2</v>
      </c>
      <c r="AH471" s="4">
        <v>6</v>
      </c>
      <c r="AI471" s="4">
        <v>6</v>
      </c>
      <c r="AJ471" s="4">
        <v>9</v>
      </c>
      <c r="AK471" s="4">
        <v>9</v>
      </c>
      <c r="AL471" s="4">
        <v>3</v>
      </c>
      <c r="AM471" s="4">
        <v>3</v>
      </c>
      <c r="AN471" s="4">
        <v>0</v>
      </c>
      <c r="AO471" s="4">
        <v>0</v>
      </c>
      <c r="AP471" s="3" t="s">
        <v>58</v>
      </c>
      <c r="AQ471" s="3" t="s">
        <v>68</v>
      </c>
      <c r="AR471" s="6" t="str">
        <f>HYPERLINK("http://catalog.hathitrust.org/Record/001548209","HathiTrust Record")</f>
        <v>HathiTrust Record</v>
      </c>
      <c r="AS471" s="6" t="str">
        <f>HYPERLINK("https://creighton-primo.hosted.exlibrisgroup.com/primo-explore/search?tab=default_tab&amp;search_scope=EVERYTHING&amp;vid=01CRU&amp;lang=en_US&amp;offset=0&amp;query=any,contains,991001434629702656","Catalog Record")</f>
        <v>Catalog Record</v>
      </c>
      <c r="AT471" s="6" t="str">
        <f>HYPERLINK("http://www.worldcat.org/oclc/19126826","WorldCat Record")</f>
        <v>WorldCat Record</v>
      </c>
      <c r="AU471" s="3" t="s">
        <v>6147</v>
      </c>
      <c r="AV471" s="3" t="s">
        <v>6148</v>
      </c>
      <c r="AW471" s="3" t="s">
        <v>6149</v>
      </c>
      <c r="AX471" s="3" t="s">
        <v>6149</v>
      </c>
      <c r="AY471" s="3" t="s">
        <v>6150</v>
      </c>
      <c r="AZ471" s="3" t="s">
        <v>73</v>
      </c>
      <c r="BB471" s="3" t="s">
        <v>6151</v>
      </c>
      <c r="BC471" s="3" t="s">
        <v>6152</v>
      </c>
      <c r="BD471" s="3" t="s">
        <v>6153</v>
      </c>
    </row>
    <row r="472" spans="1:56" ht="45" customHeight="1" x14ac:dyDescent="0.25">
      <c r="A472" s="8" t="s">
        <v>58</v>
      </c>
      <c r="B472" s="2" t="s">
        <v>6154</v>
      </c>
      <c r="C472" s="2" t="s">
        <v>6155</v>
      </c>
      <c r="D472" s="2" t="s">
        <v>6156</v>
      </c>
      <c r="F472" s="3" t="s">
        <v>58</v>
      </c>
      <c r="G472" s="3" t="s">
        <v>59</v>
      </c>
      <c r="H472" s="3" t="s">
        <v>58</v>
      </c>
      <c r="I472" s="3" t="s">
        <v>58</v>
      </c>
      <c r="J472" s="3" t="s">
        <v>60</v>
      </c>
      <c r="K472" s="2" t="s">
        <v>6157</v>
      </c>
      <c r="L472" s="2" t="s">
        <v>6158</v>
      </c>
      <c r="M472" s="3" t="s">
        <v>129</v>
      </c>
      <c r="N472" s="2" t="s">
        <v>63</v>
      </c>
      <c r="O472" s="3" t="s">
        <v>64</v>
      </c>
      <c r="P472" s="3" t="s">
        <v>177</v>
      </c>
      <c r="R472" s="3" t="s">
        <v>66</v>
      </c>
      <c r="S472" s="4">
        <v>7</v>
      </c>
      <c r="T472" s="4">
        <v>7</v>
      </c>
      <c r="U472" s="5" t="s">
        <v>6159</v>
      </c>
      <c r="V472" s="5" t="s">
        <v>6159</v>
      </c>
      <c r="W472" s="5" t="s">
        <v>252</v>
      </c>
      <c r="X472" s="5" t="s">
        <v>252</v>
      </c>
      <c r="Y472" s="4">
        <v>553</v>
      </c>
      <c r="Z472" s="4">
        <v>508</v>
      </c>
      <c r="AA472" s="4">
        <v>516</v>
      </c>
      <c r="AB472" s="4">
        <v>3</v>
      </c>
      <c r="AC472" s="4">
        <v>3</v>
      </c>
      <c r="AD472" s="4">
        <v>7</v>
      </c>
      <c r="AE472" s="4">
        <v>7</v>
      </c>
      <c r="AF472" s="4">
        <v>1</v>
      </c>
      <c r="AG472" s="4">
        <v>1</v>
      </c>
      <c r="AH472" s="4">
        <v>1</v>
      </c>
      <c r="AI472" s="4">
        <v>1</v>
      </c>
      <c r="AJ472" s="4">
        <v>3</v>
      </c>
      <c r="AK472" s="4">
        <v>3</v>
      </c>
      <c r="AL472" s="4">
        <v>2</v>
      </c>
      <c r="AM472" s="4">
        <v>2</v>
      </c>
      <c r="AN472" s="4">
        <v>0</v>
      </c>
      <c r="AO472" s="4">
        <v>0</v>
      </c>
      <c r="AP472" s="3" t="s">
        <v>58</v>
      </c>
      <c r="AQ472" s="3" t="s">
        <v>68</v>
      </c>
      <c r="AR472" s="6" t="str">
        <f>HYPERLINK("http://catalog.hathitrust.org/Record/000710302","HathiTrust Record")</f>
        <v>HathiTrust Record</v>
      </c>
      <c r="AS472" s="6" t="str">
        <f>HYPERLINK("https://creighton-primo.hosted.exlibrisgroup.com/primo-explore/search?tab=default_tab&amp;search_scope=EVERYTHING&amp;vid=01CRU&amp;lang=en_US&amp;offset=0&amp;query=any,contains,991004057599702656","Catalog Record")</f>
        <v>Catalog Record</v>
      </c>
      <c r="AT472" s="6" t="str">
        <f>HYPERLINK("http://www.worldcat.org/oclc/2230535","WorldCat Record")</f>
        <v>WorldCat Record</v>
      </c>
      <c r="AU472" s="3" t="s">
        <v>6160</v>
      </c>
      <c r="AV472" s="3" t="s">
        <v>6161</v>
      </c>
      <c r="AW472" s="3" t="s">
        <v>6162</v>
      </c>
      <c r="AX472" s="3" t="s">
        <v>6162</v>
      </c>
      <c r="AY472" s="3" t="s">
        <v>6163</v>
      </c>
      <c r="AZ472" s="3" t="s">
        <v>73</v>
      </c>
      <c r="BB472" s="3" t="s">
        <v>6164</v>
      </c>
      <c r="BC472" s="3" t="s">
        <v>6165</v>
      </c>
      <c r="BD472" s="3" t="s">
        <v>6166</v>
      </c>
    </row>
    <row r="473" spans="1:56" ht="45" customHeight="1" x14ac:dyDescent="0.25">
      <c r="A473" s="8" t="s">
        <v>58</v>
      </c>
      <c r="B473" s="2" t="s">
        <v>6167</v>
      </c>
      <c r="C473" s="2" t="s">
        <v>6168</v>
      </c>
      <c r="D473" s="2" t="s">
        <v>6169</v>
      </c>
      <c r="F473" s="3" t="s">
        <v>58</v>
      </c>
      <c r="G473" s="3" t="s">
        <v>59</v>
      </c>
      <c r="H473" s="3" t="s">
        <v>58</v>
      </c>
      <c r="I473" s="3" t="s">
        <v>58</v>
      </c>
      <c r="J473" s="3" t="s">
        <v>60</v>
      </c>
      <c r="L473" s="2" t="s">
        <v>6170</v>
      </c>
      <c r="M473" s="3" t="s">
        <v>494</v>
      </c>
      <c r="N473" s="2" t="s">
        <v>567</v>
      </c>
      <c r="O473" s="3" t="s">
        <v>64</v>
      </c>
      <c r="P473" s="3" t="s">
        <v>2053</v>
      </c>
      <c r="R473" s="3" t="s">
        <v>66</v>
      </c>
      <c r="S473" s="4">
        <v>1</v>
      </c>
      <c r="T473" s="4">
        <v>1</v>
      </c>
      <c r="U473" s="5" t="s">
        <v>2811</v>
      </c>
      <c r="V473" s="5" t="s">
        <v>2811</v>
      </c>
      <c r="W473" s="5" t="s">
        <v>658</v>
      </c>
      <c r="X473" s="5" t="s">
        <v>658</v>
      </c>
      <c r="Y473" s="4">
        <v>194</v>
      </c>
      <c r="Z473" s="4">
        <v>168</v>
      </c>
      <c r="AA473" s="4">
        <v>655</v>
      </c>
      <c r="AB473" s="4">
        <v>3</v>
      </c>
      <c r="AC473" s="4">
        <v>6</v>
      </c>
      <c r="AD473" s="4">
        <v>6</v>
      </c>
      <c r="AE473" s="4">
        <v>23</v>
      </c>
      <c r="AF473" s="4">
        <v>1</v>
      </c>
      <c r="AG473" s="4">
        <v>5</v>
      </c>
      <c r="AH473" s="4">
        <v>1</v>
      </c>
      <c r="AI473" s="4">
        <v>6</v>
      </c>
      <c r="AJ473" s="4">
        <v>3</v>
      </c>
      <c r="AK473" s="4">
        <v>12</v>
      </c>
      <c r="AL473" s="4">
        <v>2</v>
      </c>
      <c r="AM473" s="4">
        <v>5</v>
      </c>
      <c r="AN473" s="4">
        <v>0</v>
      </c>
      <c r="AO473" s="4">
        <v>0</v>
      </c>
      <c r="AP473" s="3" t="s">
        <v>58</v>
      </c>
      <c r="AQ473" s="3" t="s">
        <v>68</v>
      </c>
      <c r="AR473" s="6" t="str">
        <f>HYPERLINK("http://catalog.hathitrust.org/Record/000608955","HathiTrust Record")</f>
        <v>HathiTrust Record</v>
      </c>
      <c r="AS473" s="6" t="str">
        <f>HYPERLINK("https://creighton-primo.hosted.exlibrisgroup.com/primo-explore/search?tab=default_tab&amp;search_scope=EVERYTHING&amp;vid=01CRU&amp;lang=en_US&amp;offset=0&amp;query=any,contains,991000592169702656","Catalog Record")</f>
        <v>Catalog Record</v>
      </c>
      <c r="AT473" s="6" t="str">
        <f>HYPERLINK("http://www.worldcat.org/oclc/11785686","WorldCat Record")</f>
        <v>WorldCat Record</v>
      </c>
      <c r="AU473" s="3" t="s">
        <v>6171</v>
      </c>
      <c r="AV473" s="3" t="s">
        <v>6172</v>
      </c>
      <c r="AW473" s="3" t="s">
        <v>6173</v>
      </c>
      <c r="AX473" s="3" t="s">
        <v>6173</v>
      </c>
      <c r="AY473" s="3" t="s">
        <v>6174</v>
      </c>
      <c r="AZ473" s="3" t="s">
        <v>73</v>
      </c>
      <c r="BB473" s="3" t="s">
        <v>6175</v>
      </c>
      <c r="BC473" s="3" t="s">
        <v>6176</v>
      </c>
      <c r="BD473" s="3" t="s">
        <v>6177</v>
      </c>
    </row>
    <row r="474" spans="1:56" ht="45" customHeight="1" x14ac:dyDescent="0.25">
      <c r="A474" s="8" t="s">
        <v>58</v>
      </c>
      <c r="B474" s="2" t="s">
        <v>6178</v>
      </c>
      <c r="C474" s="2" t="s">
        <v>6179</v>
      </c>
      <c r="D474" s="2" t="s">
        <v>6180</v>
      </c>
      <c r="F474" s="3" t="s">
        <v>58</v>
      </c>
      <c r="G474" s="3" t="s">
        <v>59</v>
      </c>
      <c r="H474" s="3" t="s">
        <v>68</v>
      </c>
      <c r="I474" s="3" t="s">
        <v>58</v>
      </c>
      <c r="J474" s="3" t="s">
        <v>60</v>
      </c>
      <c r="L474" s="2" t="s">
        <v>6181</v>
      </c>
      <c r="M474" s="3" t="s">
        <v>1730</v>
      </c>
      <c r="O474" s="3" t="s">
        <v>64</v>
      </c>
      <c r="P474" s="3" t="s">
        <v>177</v>
      </c>
      <c r="R474" s="3" t="s">
        <v>66</v>
      </c>
      <c r="S474" s="4">
        <v>8</v>
      </c>
      <c r="T474" s="4">
        <v>8</v>
      </c>
      <c r="U474" s="5" t="s">
        <v>6182</v>
      </c>
      <c r="V474" s="5" t="s">
        <v>6182</v>
      </c>
      <c r="W474" s="5" t="s">
        <v>6183</v>
      </c>
      <c r="X474" s="5" t="s">
        <v>6184</v>
      </c>
      <c r="Y474" s="4">
        <v>502</v>
      </c>
      <c r="Z474" s="4">
        <v>381</v>
      </c>
      <c r="AA474" s="4">
        <v>404</v>
      </c>
      <c r="AB474" s="4">
        <v>3</v>
      </c>
      <c r="AC474" s="4">
        <v>3</v>
      </c>
      <c r="AD474" s="4">
        <v>26</v>
      </c>
      <c r="AE474" s="4">
        <v>26</v>
      </c>
      <c r="AF474" s="4">
        <v>5</v>
      </c>
      <c r="AG474" s="4">
        <v>5</v>
      </c>
      <c r="AH474" s="4">
        <v>4</v>
      </c>
      <c r="AI474" s="4">
        <v>4</v>
      </c>
      <c r="AJ474" s="4">
        <v>10</v>
      </c>
      <c r="AK474" s="4">
        <v>10</v>
      </c>
      <c r="AL474" s="4">
        <v>1</v>
      </c>
      <c r="AM474" s="4">
        <v>1</v>
      </c>
      <c r="AN474" s="4">
        <v>10</v>
      </c>
      <c r="AO474" s="4">
        <v>10</v>
      </c>
      <c r="AP474" s="3" t="s">
        <v>58</v>
      </c>
      <c r="AQ474" s="3" t="s">
        <v>68</v>
      </c>
      <c r="AR474" s="6" t="str">
        <f>HYPERLINK("http://catalog.hathitrust.org/Record/002788082","HathiTrust Record")</f>
        <v>HathiTrust Record</v>
      </c>
      <c r="AS474" s="6" t="str">
        <f>HYPERLINK("https://creighton-primo.hosted.exlibrisgroup.com/primo-explore/search?tab=default_tab&amp;search_scope=EVERYTHING&amp;vid=01CRU&amp;lang=en_US&amp;offset=0&amp;query=any,contains,991001657719702656","Catalog Record")</f>
        <v>Catalog Record</v>
      </c>
      <c r="AT474" s="6" t="str">
        <f>HYPERLINK("http://www.worldcat.org/oclc/27854169","WorldCat Record")</f>
        <v>WorldCat Record</v>
      </c>
      <c r="AU474" s="3" t="s">
        <v>6185</v>
      </c>
      <c r="AV474" s="3" t="s">
        <v>6186</v>
      </c>
      <c r="AW474" s="3" t="s">
        <v>6187</v>
      </c>
      <c r="AX474" s="3" t="s">
        <v>6187</v>
      </c>
      <c r="AY474" s="3" t="s">
        <v>6188</v>
      </c>
      <c r="AZ474" s="3" t="s">
        <v>73</v>
      </c>
      <c r="BB474" s="3" t="s">
        <v>6189</v>
      </c>
      <c r="BC474" s="3" t="s">
        <v>6190</v>
      </c>
      <c r="BD474" s="3" t="s">
        <v>6191</v>
      </c>
    </row>
    <row r="475" spans="1:56" ht="45" customHeight="1" x14ac:dyDescent="0.25">
      <c r="A475" s="8" t="s">
        <v>58</v>
      </c>
      <c r="B475" s="2" t="s">
        <v>1338</v>
      </c>
      <c r="C475" s="2" t="s">
        <v>1339</v>
      </c>
      <c r="D475" s="2" t="s">
        <v>1340</v>
      </c>
      <c r="F475" s="3" t="s">
        <v>58</v>
      </c>
      <c r="G475" s="3" t="s">
        <v>59</v>
      </c>
      <c r="H475" s="3" t="s">
        <v>68</v>
      </c>
      <c r="I475" s="3" t="s">
        <v>58</v>
      </c>
      <c r="J475" s="3" t="s">
        <v>60</v>
      </c>
      <c r="L475" s="2" t="s">
        <v>1341</v>
      </c>
      <c r="M475" s="3" t="s">
        <v>249</v>
      </c>
      <c r="O475" s="3" t="s">
        <v>64</v>
      </c>
      <c r="P475" s="3" t="s">
        <v>984</v>
      </c>
      <c r="R475" s="3" t="s">
        <v>66</v>
      </c>
      <c r="S475" s="4">
        <v>5</v>
      </c>
      <c r="T475" s="4">
        <v>15</v>
      </c>
      <c r="U475" s="5" t="s">
        <v>1343</v>
      </c>
      <c r="V475" s="5" t="s">
        <v>1343</v>
      </c>
      <c r="W475" s="5" t="s">
        <v>6192</v>
      </c>
      <c r="X475" s="5" t="s">
        <v>1344</v>
      </c>
      <c r="Y475" s="4">
        <v>387</v>
      </c>
      <c r="Z475" s="4">
        <v>321</v>
      </c>
      <c r="AA475" s="4">
        <v>328</v>
      </c>
      <c r="AB475" s="4">
        <v>5</v>
      </c>
      <c r="AC475" s="4">
        <v>5</v>
      </c>
      <c r="AD475" s="4">
        <v>12</v>
      </c>
      <c r="AE475" s="4">
        <v>12</v>
      </c>
      <c r="AF475" s="4">
        <v>4</v>
      </c>
      <c r="AG475" s="4">
        <v>4</v>
      </c>
      <c r="AH475" s="4">
        <v>1</v>
      </c>
      <c r="AI475" s="4">
        <v>1</v>
      </c>
      <c r="AJ475" s="4">
        <v>5</v>
      </c>
      <c r="AK475" s="4">
        <v>5</v>
      </c>
      <c r="AL475" s="4">
        <v>2</v>
      </c>
      <c r="AM475" s="4">
        <v>2</v>
      </c>
      <c r="AN475" s="4">
        <v>0</v>
      </c>
      <c r="AO475" s="4">
        <v>0</v>
      </c>
      <c r="AP475" s="3" t="s">
        <v>58</v>
      </c>
      <c r="AQ475" s="3" t="s">
        <v>68</v>
      </c>
      <c r="AR475" s="6" t="str">
        <f>HYPERLINK("http://catalog.hathitrust.org/Record/000688972","HathiTrust Record")</f>
        <v>HathiTrust Record</v>
      </c>
      <c r="AS475" s="6" t="str">
        <f>HYPERLINK("https://creighton-primo.hosted.exlibrisgroup.com/primo-explore/search?tab=default_tab&amp;search_scope=EVERYTHING&amp;vid=01CRU&amp;lang=en_US&amp;offset=0&amp;query=any,contains,991001757859702656","Catalog Record")</f>
        <v>Catalog Record</v>
      </c>
      <c r="AT475" s="6" t="str">
        <f>HYPERLINK("http://www.worldcat.org/oclc/4003510","WorldCat Record")</f>
        <v>WorldCat Record</v>
      </c>
      <c r="AU475" s="3" t="s">
        <v>1345</v>
      </c>
      <c r="AV475" s="3" t="s">
        <v>1346</v>
      </c>
      <c r="AW475" s="3" t="s">
        <v>1347</v>
      </c>
      <c r="AX475" s="3" t="s">
        <v>1347</v>
      </c>
      <c r="AY475" s="3" t="s">
        <v>6193</v>
      </c>
      <c r="AZ475" s="3" t="s">
        <v>73</v>
      </c>
      <c r="BB475" s="3" t="s">
        <v>1349</v>
      </c>
      <c r="BC475" s="3" t="s">
        <v>6194</v>
      </c>
      <c r="BD475" s="3" t="s">
        <v>6195</v>
      </c>
    </row>
    <row r="476" spans="1:56" ht="45" customHeight="1" x14ac:dyDescent="0.25">
      <c r="A476" s="8" t="s">
        <v>58</v>
      </c>
      <c r="B476" s="2" t="s">
        <v>1377</v>
      </c>
      <c r="C476" s="2" t="s">
        <v>1378</v>
      </c>
      <c r="D476" s="2" t="s">
        <v>1379</v>
      </c>
      <c r="F476" s="3" t="s">
        <v>58</v>
      </c>
      <c r="G476" s="3" t="s">
        <v>59</v>
      </c>
      <c r="H476" s="3" t="s">
        <v>68</v>
      </c>
      <c r="I476" s="3" t="s">
        <v>58</v>
      </c>
      <c r="J476" s="3" t="s">
        <v>60</v>
      </c>
      <c r="K476" s="2" t="s">
        <v>1380</v>
      </c>
      <c r="L476" s="2" t="s">
        <v>1381</v>
      </c>
      <c r="M476" s="3" t="s">
        <v>494</v>
      </c>
      <c r="O476" s="3" t="s">
        <v>64</v>
      </c>
      <c r="P476" s="3" t="s">
        <v>177</v>
      </c>
      <c r="Q476" s="2" t="s">
        <v>1382</v>
      </c>
      <c r="R476" s="3" t="s">
        <v>66</v>
      </c>
      <c r="S476" s="4">
        <v>4</v>
      </c>
      <c r="T476" s="4">
        <v>10</v>
      </c>
      <c r="U476" s="5" t="s">
        <v>957</v>
      </c>
      <c r="V476" s="5" t="s">
        <v>957</v>
      </c>
      <c r="W476" s="5" t="s">
        <v>6196</v>
      </c>
      <c r="X476" s="5" t="s">
        <v>1384</v>
      </c>
      <c r="Y476" s="4">
        <v>278</v>
      </c>
      <c r="Z476" s="4">
        <v>186</v>
      </c>
      <c r="AA476" s="4">
        <v>208</v>
      </c>
      <c r="AB476" s="4">
        <v>3</v>
      </c>
      <c r="AC476" s="4">
        <v>3</v>
      </c>
      <c r="AD476" s="4">
        <v>6</v>
      </c>
      <c r="AE476" s="4">
        <v>8</v>
      </c>
      <c r="AF476" s="4">
        <v>1</v>
      </c>
      <c r="AG476" s="4">
        <v>3</v>
      </c>
      <c r="AH476" s="4">
        <v>2</v>
      </c>
      <c r="AI476" s="4">
        <v>2</v>
      </c>
      <c r="AJ476" s="4">
        <v>5</v>
      </c>
      <c r="AK476" s="4">
        <v>6</v>
      </c>
      <c r="AL476" s="4">
        <v>1</v>
      </c>
      <c r="AM476" s="4">
        <v>1</v>
      </c>
      <c r="AN476" s="4">
        <v>0</v>
      </c>
      <c r="AO476" s="4">
        <v>0</v>
      </c>
      <c r="AP476" s="3" t="s">
        <v>58</v>
      </c>
      <c r="AQ476" s="3" t="s">
        <v>68</v>
      </c>
      <c r="AR476" s="6" t="str">
        <f>HYPERLINK("http://catalog.hathitrust.org/Record/000610483","HathiTrust Record")</f>
        <v>HathiTrust Record</v>
      </c>
      <c r="AS476" s="6" t="str">
        <f>HYPERLINK("https://creighton-primo.hosted.exlibrisgroup.com/primo-explore/search?tab=default_tab&amp;search_scope=EVERYTHING&amp;vid=01CRU&amp;lang=en_US&amp;offset=0&amp;query=any,contains,991001785199702656","Catalog Record")</f>
        <v>Catalog Record</v>
      </c>
      <c r="AT476" s="6" t="str">
        <f>HYPERLINK("http://www.worldcat.org/oclc/11370157","WorldCat Record")</f>
        <v>WorldCat Record</v>
      </c>
      <c r="AU476" s="3" t="s">
        <v>1385</v>
      </c>
      <c r="AV476" s="3" t="s">
        <v>1386</v>
      </c>
      <c r="AW476" s="3" t="s">
        <v>1387</v>
      </c>
      <c r="AX476" s="3" t="s">
        <v>1387</v>
      </c>
      <c r="AY476" s="3" t="s">
        <v>6197</v>
      </c>
      <c r="AZ476" s="3" t="s">
        <v>73</v>
      </c>
      <c r="BB476" s="3" t="s">
        <v>1389</v>
      </c>
      <c r="BC476" s="3" t="s">
        <v>6198</v>
      </c>
      <c r="BD476" s="3" t="s">
        <v>6199</v>
      </c>
    </row>
    <row r="477" spans="1:56" ht="45" customHeight="1" x14ac:dyDescent="0.25">
      <c r="A477" s="8" t="s">
        <v>58</v>
      </c>
      <c r="B477" s="2" t="s">
        <v>1392</v>
      </c>
      <c r="C477" s="2" t="s">
        <v>1393</v>
      </c>
      <c r="D477" s="2" t="s">
        <v>1394</v>
      </c>
      <c r="F477" s="3" t="s">
        <v>58</v>
      </c>
      <c r="G477" s="3" t="s">
        <v>59</v>
      </c>
      <c r="H477" s="3" t="s">
        <v>68</v>
      </c>
      <c r="I477" s="3" t="s">
        <v>58</v>
      </c>
      <c r="J477" s="3" t="s">
        <v>60</v>
      </c>
      <c r="K477" s="2" t="s">
        <v>1395</v>
      </c>
      <c r="L477" s="2" t="s">
        <v>1396</v>
      </c>
      <c r="M477" s="3" t="s">
        <v>249</v>
      </c>
      <c r="O477" s="3" t="s">
        <v>64</v>
      </c>
      <c r="P477" s="3" t="s">
        <v>177</v>
      </c>
      <c r="R477" s="3" t="s">
        <v>66</v>
      </c>
      <c r="S477" s="4">
        <v>2</v>
      </c>
      <c r="T477" s="4">
        <v>9</v>
      </c>
      <c r="U477" s="5" t="s">
        <v>6200</v>
      </c>
      <c r="V477" s="5" t="s">
        <v>1329</v>
      </c>
      <c r="W477" s="5" t="s">
        <v>6201</v>
      </c>
      <c r="X477" s="5" t="s">
        <v>1397</v>
      </c>
      <c r="Y477" s="4">
        <v>421</v>
      </c>
      <c r="Z477" s="4">
        <v>324</v>
      </c>
      <c r="AA477" s="4">
        <v>333</v>
      </c>
      <c r="AB477" s="4">
        <v>3</v>
      </c>
      <c r="AC477" s="4">
        <v>3</v>
      </c>
      <c r="AD477" s="4">
        <v>12</v>
      </c>
      <c r="AE477" s="4">
        <v>12</v>
      </c>
      <c r="AF477" s="4">
        <v>4</v>
      </c>
      <c r="AG477" s="4">
        <v>4</v>
      </c>
      <c r="AH477" s="4">
        <v>3</v>
      </c>
      <c r="AI477" s="4">
        <v>3</v>
      </c>
      <c r="AJ477" s="4">
        <v>6</v>
      </c>
      <c r="AK477" s="4">
        <v>6</v>
      </c>
      <c r="AL477" s="4">
        <v>1</v>
      </c>
      <c r="AM477" s="4">
        <v>1</v>
      </c>
      <c r="AN477" s="4">
        <v>0</v>
      </c>
      <c r="AO477" s="4">
        <v>0</v>
      </c>
      <c r="AP477" s="3" t="s">
        <v>58</v>
      </c>
      <c r="AQ477" s="3" t="s">
        <v>68</v>
      </c>
      <c r="AR477" s="6" t="str">
        <f>HYPERLINK("http://catalog.hathitrust.org/Record/000294655","HathiTrust Record")</f>
        <v>HathiTrust Record</v>
      </c>
      <c r="AS477" s="6" t="str">
        <f>HYPERLINK("https://creighton-primo.hosted.exlibrisgroup.com/primo-explore/search?tab=default_tab&amp;search_scope=EVERYTHING&amp;vid=01CRU&amp;lang=en_US&amp;offset=0&amp;query=any,contains,991001787789702656","Catalog Record")</f>
        <v>Catalog Record</v>
      </c>
      <c r="AT477" s="6" t="str">
        <f>HYPERLINK("http://www.worldcat.org/oclc/3202905","WorldCat Record")</f>
        <v>WorldCat Record</v>
      </c>
      <c r="AU477" s="3" t="s">
        <v>1398</v>
      </c>
      <c r="AV477" s="3" t="s">
        <v>1399</v>
      </c>
      <c r="AW477" s="3" t="s">
        <v>1400</v>
      </c>
      <c r="AX477" s="3" t="s">
        <v>1400</v>
      </c>
      <c r="AY477" s="3" t="s">
        <v>6202</v>
      </c>
      <c r="AZ477" s="3" t="s">
        <v>73</v>
      </c>
      <c r="BB477" s="3" t="s">
        <v>1402</v>
      </c>
      <c r="BC477" s="3" t="s">
        <v>6203</v>
      </c>
      <c r="BD477" s="3" t="s">
        <v>6204</v>
      </c>
    </row>
    <row r="478" spans="1:56" ht="45" customHeight="1" x14ac:dyDescent="0.25">
      <c r="A478" s="8" t="s">
        <v>58</v>
      </c>
      <c r="B478" s="2" t="s">
        <v>329</v>
      </c>
      <c r="C478" s="2" t="s">
        <v>330</v>
      </c>
      <c r="D478" s="2" t="s">
        <v>331</v>
      </c>
      <c r="F478" s="3" t="s">
        <v>58</v>
      </c>
      <c r="G478" s="3" t="s">
        <v>59</v>
      </c>
      <c r="H478" s="3" t="s">
        <v>68</v>
      </c>
      <c r="I478" s="3" t="s">
        <v>58</v>
      </c>
      <c r="J478" s="3" t="s">
        <v>60</v>
      </c>
      <c r="K478" s="2" t="s">
        <v>332</v>
      </c>
      <c r="L478" s="2" t="s">
        <v>333</v>
      </c>
      <c r="M478" s="3" t="s">
        <v>234</v>
      </c>
      <c r="N478" s="2" t="s">
        <v>334</v>
      </c>
      <c r="O478" s="3" t="s">
        <v>64</v>
      </c>
      <c r="P478" s="3" t="s">
        <v>191</v>
      </c>
      <c r="R478" s="3" t="s">
        <v>66</v>
      </c>
      <c r="S478" s="4">
        <v>3</v>
      </c>
      <c r="T478" s="4">
        <v>5</v>
      </c>
      <c r="U478" s="5" t="s">
        <v>336</v>
      </c>
      <c r="V478" s="5" t="s">
        <v>336</v>
      </c>
      <c r="W478" s="5" t="s">
        <v>6205</v>
      </c>
      <c r="X478" s="5" t="s">
        <v>337</v>
      </c>
      <c r="Y478" s="4">
        <v>422</v>
      </c>
      <c r="Z478" s="4">
        <v>378</v>
      </c>
      <c r="AA478" s="4">
        <v>388</v>
      </c>
      <c r="AB478" s="4">
        <v>5</v>
      </c>
      <c r="AC478" s="4">
        <v>6</v>
      </c>
      <c r="AD478" s="4">
        <v>15</v>
      </c>
      <c r="AE478" s="4">
        <v>16</v>
      </c>
      <c r="AF478" s="4">
        <v>5</v>
      </c>
      <c r="AG478" s="4">
        <v>5</v>
      </c>
      <c r="AH478" s="4">
        <v>2</v>
      </c>
      <c r="AI478" s="4">
        <v>2</v>
      </c>
      <c r="AJ478" s="4">
        <v>8</v>
      </c>
      <c r="AK478" s="4">
        <v>8</v>
      </c>
      <c r="AL478" s="4">
        <v>2</v>
      </c>
      <c r="AM478" s="4">
        <v>3</v>
      </c>
      <c r="AN478" s="4">
        <v>0</v>
      </c>
      <c r="AO478" s="4">
        <v>0</v>
      </c>
      <c r="AP478" s="3" t="s">
        <v>58</v>
      </c>
      <c r="AQ478" s="3" t="s">
        <v>68</v>
      </c>
      <c r="AR478" s="6" t="str">
        <f>HYPERLINK("http://catalog.hathitrust.org/Record/000014613","HathiTrust Record")</f>
        <v>HathiTrust Record</v>
      </c>
      <c r="AS478" s="6" t="str">
        <f>HYPERLINK("https://creighton-primo.hosted.exlibrisgroup.com/primo-explore/search?tab=default_tab&amp;search_scope=EVERYTHING&amp;vid=01CRU&amp;lang=en_US&amp;offset=0&amp;query=any,contains,991001772339702656","Catalog Record")</f>
        <v>Catalog Record</v>
      </c>
      <c r="AT478" s="6" t="str">
        <f>HYPERLINK("http://www.worldcat.org/oclc/915846","WorldCat Record")</f>
        <v>WorldCat Record</v>
      </c>
      <c r="AU478" s="3" t="s">
        <v>338</v>
      </c>
      <c r="AV478" s="3" t="s">
        <v>339</v>
      </c>
      <c r="AW478" s="3" t="s">
        <v>340</v>
      </c>
      <c r="AX478" s="3" t="s">
        <v>340</v>
      </c>
      <c r="AY478" s="3" t="s">
        <v>6206</v>
      </c>
      <c r="AZ478" s="3" t="s">
        <v>73</v>
      </c>
      <c r="BB478" s="3" t="s">
        <v>342</v>
      </c>
      <c r="BC478" s="3" t="s">
        <v>6207</v>
      </c>
      <c r="BD478" s="3" t="s">
        <v>6208</v>
      </c>
    </row>
    <row r="479" spans="1:56" ht="45" customHeight="1" x14ac:dyDescent="0.25">
      <c r="A479" s="8" t="s">
        <v>58</v>
      </c>
      <c r="B479" s="2" t="s">
        <v>630</v>
      </c>
      <c r="C479" s="2" t="s">
        <v>631</v>
      </c>
      <c r="D479" s="2" t="s">
        <v>632</v>
      </c>
      <c r="E479" s="3" t="s">
        <v>645</v>
      </c>
      <c r="F479" s="3" t="s">
        <v>68</v>
      </c>
      <c r="G479" s="3" t="s">
        <v>59</v>
      </c>
      <c r="H479" s="3" t="s">
        <v>68</v>
      </c>
      <c r="I479" s="3" t="s">
        <v>58</v>
      </c>
      <c r="J479" s="3" t="s">
        <v>60</v>
      </c>
      <c r="L479" s="2" t="s">
        <v>634</v>
      </c>
      <c r="M479" s="3" t="s">
        <v>291</v>
      </c>
      <c r="N479" s="2" t="s">
        <v>635</v>
      </c>
      <c r="O479" s="3" t="s">
        <v>64</v>
      </c>
      <c r="P479" s="3" t="s">
        <v>636</v>
      </c>
      <c r="R479" s="3" t="s">
        <v>66</v>
      </c>
      <c r="S479" s="4">
        <v>4</v>
      </c>
      <c r="T479" s="4">
        <v>19</v>
      </c>
      <c r="U479" s="5" t="s">
        <v>637</v>
      </c>
      <c r="V479" s="5" t="s">
        <v>637</v>
      </c>
      <c r="W479" s="5" t="s">
        <v>6209</v>
      </c>
      <c r="X479" s="5" t="s">
        <v>453</v>
      </c>
      <c r="Y479" s="4">
        <v>111</v>
      </c>
      <c r="Z479" s="4">
        <v>86</v>
      </c>
      <c r="AA479" s="4">
        <v>202</v>
      </c>
      <c r="AB479" s="4">
        <v>3</v>
      </c>
      <c r="AC479" s="4">
        <v>5</v>
      </c>
      <c r="AD479" s="4">
        <v>3</v>
      </c>
      <c r="AE479" s="4">
        <v>9</v>
      </c>
      <c r="AF479" s="4">
        <v>0</v>
      </c>
      <c r="AG479" s="4">
        <v>0</v>
      </c>
      <c r="AH479" s="4">
        <v>1</v>
      </c>
      <c r="AI479" s="4">
        <v>2</v>
      </c>
      <c r="AJ479" s="4">
        <v>2</v>
      </c>
      <c r="AK479" s="4">
        <v>5</v>
      </c>
      <c r="AL479" s="4">
        <v>1</v>
      </c>
      <c r="AM479" s="4">
        <v>3</v>
      </c>
      <c r="AN479" s="4">
        <v>0</v>
      </c>
      <c r="AO479" s="4">
        <v>0</v>
      </c>
      <c r="AP479" s="3" t="s">
        <v>58</v>
      </c>
      <c r="AQ479" s="3" t="s">
        <v>68</v>
      </c>
      <c r="AR479" s="6" t="str">
        <f>HYPERLINK("http://catalog.hathitrust.org/Record/000268203","HathiTrust Record")</f>
        <v>HathiTrust Record</v>
      </c>
      <c r="AS479" s="6" t="str">
        <f>HYPERLINK("https://creighton-primo.hosted.exlibrisgroup.com/primo-explore/search?tab=default_tab&amp;search_scope=EVERYTHING&amp;vid=01CRU&amp;lang=en_US&amp;offset=0&amp;query=any,contains,991001784719702656","Catalog Record")</f>
        <v>Catalog Record</v>
      </c>
      <c r="AT479" s="6" t="str">
        <f>HYPERLINK("http://www.worldcat.org/oclc/7930984","WorldCat Record")</f>
        <v>WorldCat Record</v>
      </c>
      <c r="AU479" s="3" t="s">
        <v>638</v>
      </c>
      <c r="AV479" s="3" t="s">
        <v>639</v>
      </c>
      <c r="AW479" s="3" t="s">
        <v>640</v>
      </c>
      <c r="AX479" s="3" t="s">
        <v>640</v>
      </c>
      <c r="AY479" s="3" t="s">
        <v>6210</v>
      </c>
      <c r="AZ479" s="3" t="s">
        <v>73</v>
      </c>
      <c r="BB479" s="3" t="s">
        <v>642</v>
      </c>
      <c r="BC479" s="3" t="s">
        <v>6211</v>
      </c>
      <c r="BD479" s="3" t="s">
        <v>6212</v>
      </c>
    </row>
    <row r="480" spans="1:56" ht="45" customHeight="1" x14ac:dyDescent="0.25">
      <c r="A480" s="8" t="s">
        <v>58</v>
      </c>
      <c r="B480" s="2" t="s">
        <v>630</v>
      </c>
      <c r="C480" s="2" t="s">
        <v>631</v>
      </c>
      <c r="D480" s="2" t="s">
        <v>632</v>
      </c>
      <c r="E480" s="3" t="s">
        <v>649</v>
      </c>
      <c r="F480" s="3" t="s">
        <v>68</v>
      </c>
      <c r="G480" s="3" t="s">
        <v>59</v>
      </c>
      <c r="H480" s="3" t="s">
        <v>68</v>
      </c>
      <c r="I480" s="3" t="s">
        <v>58</v>
      </c>
      <c r="J480" s="3" t="s">
        <v>60</v>
      </c>
      <c r="L480" s="2" t="s">
        <v>634</v>
      </c>
      <c r="M480" s="3" t="s">
        <v>291</v>
      </c>
      <c r="N480" s="2" t="s">
        <v>635</v>
      </c>
      <c r="O480" s="3" t="s">
        <v>64</v>
      </c>
      <c r="P480" s="3" t="s">
        <v>636</v>
      </c>
      <c r="R480" s="3" t="s">
        <v>66</v>
      </c>
      <c r="S480" s="4">
        <v>1</v>
      </c>
      <c r="T480" s="4">
        <v>19</v>
      </c>
      <c r="U480" s="5" t="s">
        <v>6213</v>
      </c>
      <c r="V480" s="5" t="s">
        <v>637</v>
      </c>
      <c r="W480" s="5" t="s">
        <v>6214</v>
      </c>
      <c r="X480" s="5" t="s">
        <v>453</v>
      </c>
      <c r="Y480" s="4">
        <v>111</v>
      </c>
      <c r="Z480" s="4">
        <v>86</v>
      </c>
      <c r="AA480" s="4">
        <v>202</v>
      </c>
      <c r="AB480" s="4">
        <v>3</v>
      </c>
      <c r="AC480" s="4">
        <v>5</v>
      </c>
      <c r="AD480" s="4">
        <v>3</v>
      </c>
      <c r="AE480" s="4">
        <v>9</v>
      </c>
      <c r="AF480" s="4">
        <v>0</v>
      </c>
      <c r="AG480" s="4">
        <v>0</v>
      </c>
      <c r="AH480" s="4">
        <v>1</v>
      </c>
      <c r="AI480" s="4">
        <v>2</v>
      </c>
      <c r="AJ480" s="4">
        <v>2</v>
      </c>
      <c r="AK480" s="4">
        <v>5</v>
      </c>
      <c r="AL480" s="4">
        <v>1</v>
      </c>
      <c r="AM480" s="4">
        <v>3</v>
      </c>
      <c r="AN480" s="4">
        <v>0</v>
      </c>
      <c r="AO480" s="4">
        <v>0</v>
      </c>
      <c r="AP480" s="3" t="s">
        <v>58</v>
      </c>
      <c r="AQ480" s="3" t="s">
        <v>68</v>
      </c>
      <c r="AR480" s="6" t="str">
        <f>HYPERLINK("http://catalog.hathitrust.org/Record/000268203","HathiTrust Record")</f>
        <v>HathiTrust Record</v>
      </c>
      <c r="AS480" s="6" t="str">
        <f>HYPERLINK("https://creighton-primo.hosted.exlibrisgroup.com/primo-explore/search?tab=default_tab&amp;search_scope=EVERYTHING&amp;vid=01CRU&amp;lang=en_US&amp;offset=0&amp;query=any,contains,991001784719702656","Catalog Record")</f>
        <v>Catalog Record</v>
      </c>
      <c r="AT480" s="6" t="str">
        <f>HYPERLINK("http://www.worldcat.org/oclc/7930984","WorldCat Record")</f>
        <v>WorldCat Record</v>
      </c>
      <c r="AU480" s="3" t="s">
        <v>638</v>
      </c>
      <c r="AV480" s="3" t="s">
        <v>639</v>
      </c>
      <c r="AW480" s="3" t="s">
        <v>640</v>
      </c>
      <c r="AX480" s="3" t="s">
        <v>640</v>
      </c>
      <c r="AY480" s="3" t="s">
        <v>6210</v>
      </c>
      <c r="AZ480" s="3" t="s">
        <v>73</v>
      </c>
      <c r="BB480" s="3" t="s">
        <v>642</v>
      </c>
      <c r="BC480" s="3" t="s">
        <v>6215</v>
      </c>
      <c r="BD480" s="3" t="s">
        <v>6216</v>
      </c>
    </row>
    <row r="481" spans="1:56" ht="45" customHeight="1" x14ac:dyDescent="0.25">
      <c r="A481" s="8" t="s">
        <v>58</v>
      </c>
      <c r="B481" s="2" t="s">
        <v>630</v>
      </c>
      <c r="C481" s="2" t="s">
        <v>631</v>
      </c>
      <c r="D481" s="2" t="s">
        <v>632</v>
      </c>
      <c r="E481" s="3" t="s">
        <v>633</v>
      </c>
      <c r="F481" s="3" t="s">
        <v>68</v>
      </c>
      <c r="G481" s="3" t="s">
        <v>59</v>
      </c>
      <c r="H481" s="3" t="s">
        <v>68</v>
      </c>
      <c r="I481" s="3" t="s">
        <v>58</v>
      </c>
      <c r="J481" s="3" t="s">
        <v>60</v>
      </c>
      <c r="L481" s="2" t="s">
        <v>634</v>
      </c>
      <c r="M481" s="3" t="s">
        <v>291</v>
      </c>
      <c r="N481" s="2" t="s">
        <v>635</v>
      </c>
      <c r="O481" s="3" t="s">
        <v>64</v>
      </c>
      <c r="P481" s="3" t="s">
        <v>636</v>
      </c>
      <c r="R481" s="3" t="s">
        <v>66</v>
      </c>
      <c r="S481" s="4">
        <v>6</v>
      </c>
      <c r="T481" s="4">
        <v>19</v>
      </c>
      <c r="U481" s="5" t="s">
        <v>6217</v>
      </c>
      <c r="V481" s="5" t="s">
        <v>637</v>
      </c>
      <c r="W481" s="5" t="s">
        <v>6214</v>
      </c>
      <c r="X481" s="5" t="s">
        <v>453</v>
      </c>
      <c r="Y481" s="4">
        <v>111</v>
      </c>
      <c r="Z481" s="4">
        <v>86</v>
      </c>
      <c r="AA481" s="4">
        <v>202</v>
      </c>
      <c r="AB481" s="4">
        <v>3</v>
      </c>
      <c r="AC481" s="4">
        <v>5</v>
      </c>
      <c r="AD481" s="4">
        <v>3</v>
      </c>
      <c r="AE481" s="4">
        <v>9</v>
      </c>
      <c r="AF481" s="4">
        <v>0</v>
      </c>
      <c r="AG481" s="4">
        <v>0</v>
      </c>
      <c r="AH481" s="4">
        <v>1</v>
      </c>
      <c r="AI481" s="4">
        <v>2</v>
      </c>
      <c r="AJ481" s="4">
        <v>2</v>
      </c>
      <c r="AK481" s="4">
        <v>5</v>
      </c>
      <c r="AL481" s="4">
        <v>1</v>
      </c>
      <c r="AM481" s="4">
        <v>3</v>
      </c>
      <c r="AN481" s="4">
        <v>0</v>
      </c>
      <c r="AO481" s="4">
        <v>0</v>
      </c>
      <c r="AP481" s="3" t="s">
        <v>58</v>
      </c>
      <c r="AQ481" s="3" t="s">
        <v>68</v>
      </c>
      <c r="AR481" s="6" t="str">
        <f>HYPERLINK("http://catalog.hathitrust.org/Record/000268203","HathiTrust Record")</f>
        <v>HathiTrust Record</v>
      </c>
      <c r="AS481" s="6" t="str">
        <f>HYPERLINK("https://creighton-primo.hosted.exlibrisgroup.com/primo-explore/search?tab=default_tab&amp;search_scope=EVERYTHING&amp;vid=01CRU&amp;lang=en_US&amp;offset=0&amp;query=any,contains,991001784719702656","Catalog Record")</f>
        <v>Catalog Record</v>
      </c>
      <c r="AT481" s="6" t="str">
        <f>HYPERLINK("http://www.worldcat.org/oclc/7930984","WorldCat Record")</f>
        <v>WorldCat Record</v>
      </c>
      <c r="AU481" s="3" t="s">
        <v>638</v>
      </c>
      <c r="AV481" s="3" t="s">
        <v>639</v>
      </c>
      <c r="AW481" s="3" t="s">
        <v>640</v>
      </c>
      <c r="AX481" s="3" t="s">
        <v>640</v>
      </c>
      <c r="AY481" s="3" t="s">
        <v>6210</v>
      </c>
      <c r="AZ481" s="3" t="s">
        <v>73</v>
      </c>
      <c r="BB481" s="3" t="s">
        <v>642</v>
      </c>
      <c r="BC481" s="3" t="s">
        <v>6218</v>
      </c>
      <c r="BD481" s="3" t="s">
        <v>6219</v>
      </c>
    </row>
    <row r="482" spans="1:56" ht="45" customHeight="1" x14ac:dyDescent="0.25">
      <c r="A482" s="8" t="s">
        <v>58</v>
      </c>
      <c r="B482" s="2" t="s">
        <v>715</v>
      </c>
      <c r="C482" s="2" t="s">
        <v>716</v>
      </c>
      <c r="D482" s="2" t="s">
        <v>717</v>
      </c>
      <c r="F482" s="3" t="s">
        <v>58</v>
      </c>
      <c r="G482" s="3" t="s">
        <v>59</v>
      </c>
      <c r="H482" s="3" t="s">
        <v>68</v>
      </c>
      <c r="I482" s="3" t="s">
        <v>58</v>
      </c>
      <c r="J482" s="3" t="s">
        <v>60</v>
      </c>
      <c r="K482" s="2" t="s">
        <v>718</v>
      </c>
      <c r="L482" s="2" t="s">
        <v>719</v>
      </c>
      <c r="M482" s="3" t="s">
        <v>129</v>
      </c>
      <c r="O482" s="3" t="s">
        <v>64</v>
      </c>
      <c r="P482" s="3" t="s">
        <v>177</v>
      </c>
      <c r="Q482" s="2" t="s">
        <v>720</v>
      </c>
      <c r="R482" s="3" t="s">
        <v>66</v>
      </c>
      <c r="S482" s="4">
        <v>11</v>
      </c>
      <c r="T482" s="4">
        <v>17</v>
      </c>
      <c r="U482" s="5" t="s">
        <v>6220</v>
      </c>
      <c r="V482" s="5" t="s">
        <v>721</v>
      </c>
      <c r="W482" s="5" t="s">
        <v>6221</v>
      </c>
      <c r="X482" s="5" t="s">
        <v>722</v>
      </c>
      <c r="Y482" s="4">
        <v>359</v>
      </c>
      <c r="Z482" s="4">
        <v>309</v>
      </c>
      <c r="AA482" s="4">
        <v>314</v>
      </c>
      <c r="AB482" s="4">
        <v>3</v>
      </c>
      <c r="AC482" s="4">
        <v>3</v>
      </c>
      <c r="AD482" s="4">
        <v>22</v>
      </c>
      <c r="AE482" s="4">
        <v>22</v>
      </c>
      <c r="AF482" s="4">
        <v>9</v>
      </c>
      <c r="AG482" s="4">
        <v>9</v>
      </c>
      <c r="AH482" s="4">
        <v>2</v>
      </c>
      <c r="AI482" s="4">
        <v>2</v>
      </c>
      <c r="AJ482" s="4">
        <v>15</v>
      </c>
      <c r="AK482" s="4">
        <v>15</v>
      </c>
      <c r="AL482" s="4">
        <v>1</v>
      </c>
      <c r="AM482" s="4">
        <v>1</v>
      </c>
      <c r="AN482" s="4">
        <v>2</v>
      </c>
      <c r="AO482" s="4">
        <v>2</v>
      </c>
      <c r="AP482" s="3" t="s">
        <v>58</v>
      </c>
      <c r="AQ482" s="3" t="s">
        <v>58</v>
      </c>
      <c r="AS482" s="6" t="str">
        <f>HYPERLINK("https://creighton-primo.hosted.exlibrisgroup.com/primo-explore/search?tab=default_tab&amp;search_scope=EVERYTHING&amp;vid=01CRU&amp;lang=en_US&amp;offset=0&amp;query=any,contains,991001805749702656","Catalog Record")</f>
        <v>Catalog Record</v>
      </c>
      <c r="AT482" s="6" t="str">
        <f>HYPERLINK("http://www.worldcat.org/oclc/2660101","WorldCat Record")</f>
        <v>WorldCat Record</v>
      </c>
      <c r="AU482" s="3" t="s">
        <v>723</v>
      </c>
      <c r="AV482" s="3" t="s">
        <v>724</v>
      </c>
      <c r="AW482" s="3" t="s">
        <v>725</v>
      </c>
      <c r="AX482" s="3" t="s">
        <v>725</v>
      </c>
      <c r="AY482" s="3" t="s">
        <v>6222</v>
      </c>
      <c r="AZ482" s="3" t="s">
        <v>73</v>
      </c>
      <c r="BB482" s="3" t="s">
        <v>727</v>
      </c>
      <c r="BC482" s="3" t="s">
        <v>6223</v>
      </c>
      <c r="BD482" s="3" t="s">
        <v>6224</v>
      </c>
    </row>
    <row r="483" spans="1:56" ht="45" customHeight="1" x14ac:dyDescent="0.25">
      <c r="A483" s="8" t="s">
        <v>58</v>
      </c>
      <c r="B483" s="2" t="s">
        <v>884</v>
      </c>
      <c r="C483" s="2" t="s">
        <v>885</v>
      </c>
      <c r="D483" s="2" t="s">
        <v>886</v>
      </c>
      <c r="F483" s="3" t="s">
        <v>58</v>
      </c>
      <c r="G483" s="3" t="s">
        <v>59</v>
      </c>
      <c r="H483" s="3" t="s">
        <v>68</v>
      </c>
      <c r="I483" s="3" t="s">
        <v>58</v>
      </c>
      <c r="J483" s="3" t="s">
        <v>60</v>
      </c>
      <c r="L483" s="2" t="s">
        <v>887</v>
      </c>
      <c r="M483" s="3" t="s">
        <v>681</v>
      </c>
      <c r="O483" s="3" t="s">
        <v>64</v>
      </c>
      <c r="P483" s="3" t="s">
        <v>65</v>
      </c>
      <c r="Q483" s="2" t="s">
        <v>888</v>
      </c>
      <c r="R483" s="3" t="s">
        <v>66</v>
      </c>
      <c r="S483" s="4">
        <v>1</v>
      </c>
      <c r="T483" s="4">
        <v>3</v>
      </c>
      <c r="V483" s="5" t="s">
        <v>889</v>
      </c>
      <c r="W483" s="5" t="s">
        <v>6196</v>
      </c>
      <c r="X483" s="5" t="s">
        <v>453</v>
      </c>
      <c r="Y483" s="4">
        <v>48</v>
      </c>
      <c r="Z483" s="4">
        <v>42</v>
      </c>
      <c r="AA483" s="4">
        <v>44</v>
      </c>
      <c r="AB483" s="4">
        <v>2</v>
      </c>
      <c r="AC483" s="4">
        <v>2</v>
      </c>
      <c r="AD483" s="4">
        <v>1</v>
      </c>
      <c r="AE483" s="4">
        <v>1</v>
      </c>
      <c r="AF483" s="4">
        <v>1</v>
      </c>
      <c r="AG483" s="4">
        <v>1</v>
      </c>
      <c r="AH483" s="4">
        <v>0</v>
      </c>
      <c r="AI483" s="4">
        <v>0</v>
      </c>
      <c r="AJ483" s="4">
        <v>1</v>
      </c>
      <c r="AK483" s="4">
        <v>1</v>
      </c>
      <c r="AL483" s="4">
        <v>0</v>
      </c>
      <c r="AM483" s="4">
        <v>0</v>
      </c>
      <c r="AN483" s="4">
        <v>0</v>
      </c>
      <c r="AO483" s="4">
        <v>0</v>
      </c>
      <c r="AP483" s="3" t="s">
        <v>58</v>
      </c>
      <c r="AQ483" s="3" t="s">
        <v>58</v>
      </c>
      <c r="AS483" s="6" t="str">
        <f>HYPERLINK("https://creighton-primo.hosted.exlibrisgroup.com/primo-explore/search?tab=default_tab&amp;search_scope=EVERYTHING&amp;vid=01CRU&amp;lang=en_US&amp;offset=0&amp;query=any,contains,991001785159702656","Catalog Record")</f>
        <v>Catalog Record</v>
      </c>
      <c r="AT483" s="6" t="str">
        <f>HYPERLINK("http://www.worldcat.org/oclc/9504000","WorldCat Record")</f>
        <v>WorldCat Record</v>
      </c>
      <c r="AU483" s="3" t="s">
        <v>890</v>
      </c>
      <c r="AV483" s="3" t="s">
        <v>891</v>
      </c>
      <c r="AW483" s="3" t="s">
        <v>892</v>
      </c>
      <c r="AX483" s="3" t="s">
        <v>892</v>
      </c>
      <c r="AY483" s="3" t="s">
        <v>6225</v>
      </c>
      <c r="AZ483" s="3" t="s">
        <v>73</v>
      </c>
      <c r="BB483" s="3" t="s">
        <v>894</v>
      </c>
      <c r="BC483" s="3" t="s">
        <v>6226</v>
      </c>
      <c r="BD483" s="3" t="s">
        <v>6227</v>
      </c>
    </row>
    <row r="484" spans="1:56" ht="45" customHeight="1" x14ac:dyDescent="0.25">
      <c r="A484" s="8" t="s">
        <v>58</v>
      </c>
      <c r="B484" s="2" t="s">
        <v>6228</v>
      </c>
      <c r="C484" s="2" t="s">
        <v>6229</v>
      </c>
      <c r="D484" s="2" t="s">
        <v>6230</v>
      </c>
      <c r="F484" s="3" t="s">
        <v>58</v>
      </c>
      <c r="G484" s="3" t="s">
        <v>59</v>
      </c>
      <c r="H484" s="3" t="s">
        <v>58</v>
      </c>
      <c r="I484" s="3" t="s">
        <v>58</v>
      </c>
      <c r="J484" s="3" t="s">
        <v>60</v>
      </c>
      <c r="K484" s="2" t="s">
        <v>6231</v>
      </c>
      <c r="L484" s="2" t="s">
        <v>6232</v>
      </c>
      <c r="M484" s="3" t="s">
        <v>365</v>
      </c>
      <c r="O484" s="3" t="s">
        <v>64</v>
      </c>
      <c r="P484" s="3" t="s">
        <v>6233</v>
      </c>
      <c r="R484" s="3" t="s">
        <v>66</v>
      </c>
      <c r="S484" s="4">
        <v>0</v>
      </c>
      <c r="T484" s="4">
        <v>0</v>
      </c>
      <c r="U484" s="5" t="s">
        <v>637</v>
      </c>
      <c r="V484" s="5" t="s">
        <v>637</v>
      </c>
      <c r="W484" s="5" t="s">
        <v>6234</v>
      </c>
      <c r="X484" s="5" t="s">
        <v>6234</v>
      </c>
      <c r="Y484" s="4">
        <v>31</v>
      </c>
      <c r="Z484" s="4">
        <v>21</v>
      </c>
      <c r="AA484" s="4">
        <v>43</v>
      </c>
      <c r="AB484" s="4">
        <v>1</v>
      </c>
      <c r="AC484" s="4">
        <v>1</v>
      </c>
      <c r="AD484" s="4">
        <v>0</v>
      </c>
      <c r="AE484" s="4">
        <v>0</v>
      </c>
      <c r="AF484" s="4">
        <v>0</v>
      </c>
      <c r="AG484" s="4">
        <v>0</v>
      </c>
      <c r="AH484" s="4">
        <v>0</v>
      </c>
      <c r="AI484" s="4">
        <v>0</v>
      </c>
      <c r="AJ484" s="4">
        <v>0</v>
      </c>
      <c r="AK484" s="4">
        <v>0</v>
      </c>
      <c r="AL484" s="4">
        <v>0</v>
      </c>
      <c r="AM484" s="4">
        <v>0</v>
      </c>
      <c r="AN484" s="4">
        <v>0</v>
      </c>
      <c r="AO484" s="4">
        <v>0</v>
      </c>
      <c r="AP484" s="3" t="s">
        <v>58</v>
      </c>
      <c r="AQ484" s="3" t="s">
        <v>58</v>
      </c>
      <c r="AS484" s="6" t="str">
        <f>HYPERLINK("https://creighton-primo.hosted.exlibrisgroup.com/primo-explore/search?tab=default_tab&amp;search_scope=EVERYTHING&amp;vid=01CRU&amp;lang=en_US&amp;offset=0&amp;query=any,contains,991001031879702656","Catalog Record")</f>
        <v>Catalog Record</v>
      </c>
      <c r="AT484" s="6" t="str">
        <f>HYPERLINK("http://www.worldcat.org/oclc/264715","WorldCat Record")</f>
        <v>WorldCat Record</v>
      </c>
      <c r="AU484" s="3" t="s">
        <v>6235</v>
      </c>
      <c r="AV484" s="3" t="s">
        <v>6236</v>
      </c>
      <c r="AW484" s="3" t="s">
        <v>6237</v>
      </c>
      <c r="AX484" s="3" t="s">
        <v>6237</v>
      </c>
      <c r="AY484" s="3" t="s">
        <v>6238</v>
      </c>
      <c r="AZ484" s="3" t="s">
        <v>73</v>
      </c>
      <c r="BC484" s="3" t="s">
        <v>6239</v>
      </c>
      <c r="BD484" s="3" t="s">
        <v>6240</v>
      </c>
    </row>
    <row r="485" spans="1:56" ht="45" customHeight="1" x14ac:dyDescent="0.25">
      <c r="A485" s="8" t="s">
        <v>58</v>
      </c>
      <c r="B485" s="2" t="s">
        <v>897</v>
      </c>
      <c r="C485" s="2" t="s">
        <v>898</v>
      </c>
      <c r="D485" s="2" t="s">
        <v>899</v>
      </c>
      <c r="F485" s="3" t="s">
        <v>58</v>
      </c>
      <c r="G485" s="3" t="s">
        <v>59</v>
      </c>
      <c r="H485" s="3" t="s">
        <v>68</v>
      </c>
      <c r="I485" s="3" t="s">
        <v>58</v>
      </c>
      <c r="J485" s="3" t="s">
        <v>60</v>
      </c>
      <c r="L485" s="2" t="s">
        <v>900</v>
      </c>
      <c r="M485" s="3" t="s">
        <v>681</v>
      </c>
      <c r="N485" s="2" t="s">
        <v>451</v>
      </c>
      <c r="O485" s="3" t="s">
        <v>64</v>
      </c>
      <c r="P485" s="3" t="s">
        <v>901</v>
      </c>
      <c r="R485" s="3" t="s">
        <v>66</v>
      </c>
      <c r="S485" s="4">
        <v>4</v>
      </c>
      <c r="T485" s="4">
        <v>8</v>
      </c>
      <c r="U485" s="5" t="s">
        <v>903</v>
      </c>
      <c r="V485" s="5" t="s">
        <v>903</v>
      </c>
      <c r="W485" s="5" t="s">
        <v>6241</v>
      </c>
      <c r="X485" s="5" t="s">
        <v>904</v>
      </c>
      <c r="Y485" s="4">
        <v>234</v>
      </c>
      <c r="Z485" s="4">
        <v>193</v>
      </c>
      <c r="AA485" s="4">
        <v>195</v>
      </c>
      <c r="AB485" s="4">
        <v>4</v>
      </c>
      <c r="AC485" s="4">
        <v>4</v>
      </c>
      <c r="AD485" s="4">
        <v>5</v>
      </c>
      <c r="AE485" s="4">
        <v>5</v>
      </c>
      <c r="AF485" s="4">
        <v>1</v>
      </c>
      <c r="AG485" s="4">
        <v>1</v>
      </c>
      <c r="AH485" s="4">
        <v>0</v>
      </c>
      <c r="AI485" s="4">
        <v>0</v>
      </c>
      <c r="AJ485" s="4">
        <v>3</v>
      </c>
      <c r="AK485" s="4">
        <v>3</v>
      </c>
      <c r="AL485" s="4">
        <v>1</v>
      </c>
      <c r="AM485" s="4">
        <v>1</v>
      </c>
      <c r="AN485" s="4">
        <v>0</v>
      </c>
      <c r="AO485" s="4">
        <v>0</v>
      </c>
      <c r="AP485" s="3" t="s">
        <v>58</v>
      </c>
      <c r="AQ485" s="3" t="s">
        <v>68</v>
      </c>
      <c r="AR485" s="6" t="str">
        <f>HYPERLINK("http://catalog.hathitrust.org/Record/000118642","HathiTrust Record")</f>
        <v>HathiTrust Record</v>
      </c>
      <c r="AS485" s="6" t="str">
        <f>HYPERLINK("https://creighton-primo.hosted.exlibrisgroup.com/primo-explore/search?tab=default_tab&amp;search_scope=EVERYTHING&amp;vid=01CRU&amp;lang=en_US&amp;offset=0&amp;query=any,contains,991001759349702656","Catalog Record")</f>
        <v>Catalog Record</v>
      </c>
      <c r="AT485" s="6" t="str">
        <f>HYPERLINK("http://www.worldcat.org/oclc/8866177","WorldCat Record")</f>
        <v>WorldCat Record</v>
      </c>
      <c r="AU485" s="3" t="s">
        <v>905</v>
      </c>
      <c r="AV485" s="3" t="s">
        <v>906</v>
      </c>
      <c r="AW485" s="3" t="s">
        <v>907</v>
      </c>
      <c r="AX485" s="3" t="s">
        <v>907</v>
      </c>
      <c r="AY485" s="3" t="s">
        <v>6242</v>
      </c>
      <c r="AZ485" s="3" t="s">
        <v>73</v>
      </c>
      <c r="BB485" s="3" t="s">
        <v>909</v>
      </c>
      <c r="BC485" s="3" t="s">
        <v>6243</v>
      </c>
      <c r="BD485" s="3" t="s">
        <v>6244</v>
      </c>
    </row>
    <row r="486" spans="1:56" ht="45" customHeight="1" x14ac:dyDescent="0.25">
      <c r="A486" s="8" t="s">
        <v>58</v>
      </c>
      <c r="B486" s="2" t="s">
        <v>952</v>
      </c>
      <c r="C486" s="2" t="s">
        <v>953</v>
      </c>
      <c r="D486" s="2" t="s">
        <v>954</v>
      </c>
      <c r="F486" s="3" t="s">
        <v>58</v>
      </c>
      <c r="G486" s="3" t="s">
        <v>59</v>
      </c>
      <c r="H486" s="3" t="s">
        <v>68</v>
      </c>
      <c r="I486" s="3" t="s">
        <v>58</v>
      </c>
      <c r="J486" s="3" t="s">
        <v>60</v>
      </c>
      <c r="L486" s="2" t="s">
        <v>955</v>
      </c>
      <c r="M486" s="3" t="s">
        <v>407</v>
      </c>
      <c r="O486" s="3" t="s">
        <v>64</v>
      </c>
      <c r="P486" s="3" t="s">
        <v>177</v>
      </c>
      <c r="R486" s="3" t="s">
        <v>66</v>
      </c>
      <c r="S486" s="4">
        <v>15</v>
      </c>
      <c r="T486" s="4">
        <v>17</v>
      </c>
      <c r="U486" s="5" t="s">
        <v>957</v>
      </c>
      <c r="V486" s="5" t="s">
        <v>957</v>
      </c>
      <c r="W486" s="5" t="s">
        <v>6245</v>
      </c>
      <c r="X486" s="5" t="s">
        <v>958</v>
      </c>
      <c r="Y486" s="4">
        <v>314</v>
      </c>
      <c r="Z486" s="4">
        <v>242</v>
      </c>
      <c r="AA486" s="4">
        <v>249</v>
      </c>
      <c r="AB486" s="4">
        <v>3</v>
      </c>
      <c r="AC486" s="4">
        <v>3</v>
      </c>
      <c r="AD486" s="4">
        <v>10</v>
      </c>
      <c r="AE486" s="4">
        <v>10</v>
      </c>
      <c r="AF486" s="4">
        <v>3</v>
      </c>
      <c r="AG486" s="4">
        <v>3</v>
      </c>
      <c r="AH486" s="4">
        <v>2</v>
      </c>
      <c r="AI486" s="4">
        <v>2</v>
      </c>
      <c r="AJ486" s="4">
        <v>6</v>
      </c>
      <c r="AK486" s="4">
        <v>6</v>
      </c>
      <c r="AL486" s="4">
        <v>1</v>
      </c>
      <c r="AM486" s="4">
        <v>1</v>
      </c>
      <c r="AN486" s="4">
        <v>0</v>
      </c>
      <c r="AO486" s="4">
        <v>0</v>
      </c>
      <c r="AP486" s="3" t="s">
        <v>58</v>
      </c>
      <c r="AQ486" s="3" t="s">
        <v>68</v>
      </c>
      <c r="AR486" s="6" t="str">
        <f>HYPERLINK("http://catalog.hathitrust.org/Record/000706777","HathiTrust Record")</f>
        <v>HathiTrust Record</v>
      </c>
      <c r="AS486" s="6" t="str">
        <f>HYPERLINK("https://creighton-primo.hosted.exlibrisgroup.com/primo-explore/search?tab=default_tab&amp;search_scope=EVERYTHING&amp;vid=01CRU&amp;lang=en_US&amp;offset=0&amp;query=any,contains,991001776839702656","Catalog Record")</f>
        <v>Catalog Record</v>
      </c>
      <c r="AT486" s="6" t="str">
        <f>HYPERLINK("http://www.worldcat.org/oclc/2225056","WorldCat Record")</f>
        <v>WorldCat Record</v>
      </c>
      <c r="AU486" s="3" t="s">
        <v>959</v>
      </c>
      <c r="AV486" s="3" t="s">
        <v>960</v>
      </c>
      <c r="AW486" s="3" t="s">
        <v>961</v>
      </c>
      <c r="AX486" s="3" t="s">
        <v>961</v>
      </c>
      <c r="AY486" s="3" t="s">
        <v>6246</v>
      </c>
      <c r="AZ486" s="3" t="s">
        <v>73</v>
      </c>
      <c r="BB486" s="3" t="s">
        <v>963</v>
      </c>
      <c r="BC486" s="3" t="s">
        <v>6247</v>
      </c>
      <c r="BD486" s="3" t="s">
        <v>6248</v>
      </c>
    </row>
    <row r="487" spans="1:56" ht="45" customHeight="1" x14ac:dyDescent="0.25">
      <c r="A487" s="8" t="s">
        <v>58</v>
      </c>
      <c r="B487" s="2" t="s">
        <v>1036</v>
      </c>
      <c r="C487" s="2" t="s">
        <v>1037</v>
      </c>
      <c r="D487" s="2" t="s">
        <v>1038</v>
      </c>
      <c r="F487" s="3" t="s">
        <v>58</v>
      </c>
      <c r="G487" s="3" t="s">
        <v>59</v>
      </c>
      <c r="H487" s="3" t="s">
        <v>68</v>
      </c>
      <c r="I487" s="3" t="s">
        <v>58</v>
      </c>
      <c r="J487" s="3" t="s">
        <v>60</v>
      </c>
      <c r="K487" s="2" t="s">
        <v>1039</v>
      </c>
      <c r="L487" s="2" t="s">
        <v>1040</v>
      </c>
      <c r="M487" s="3" t="s">
        <v>1041</v>
      </c>
      <c r="O487" s="3" t="s">
        <v>64</v>
      </c>
      <c r="P487" s="3" t="s">
        <v>191</v>
      </c>
      <c r="R487" s="3" t="s">
        <v>66</v>
      </c>
      <c r="S487" s="4">
        <v>5</v>
      </c>
      <c r="T487" s="4">
        <v>9</v>
      </c>
      <c r="U487" s="5" t="s">
        <v>1042</v>
      </c>
      <c r="V487" s="5" t="s">
        <v>1042</v>
      </c>
      <c r="W487" s="5" t="s">
        <v>1044</v>
      </c>
      <c r="X487" s="5" t="s">
        <v>1044</v>
      </c>
      <c r="Y487" s="4">
        <v>100</v>
      </c>
      <c r="Z487" s="4">
        <v>79</v>
      </c>
      <c r="AA487" s="4">
        <v>79</v>
      </c>
      <c r="AB487" s="4">
        <v>3</v>
      </c>
      <c r="AC487" s="4">
        <v>3</v>
      </c>
      <c r="AD487" s="4">
        <v>7</v>
      </c>
      <c r="AE487" s="4">
        <v>7</v>
      </c>
      <c r="AF487" s="4">
        <v>1</v>
      </c>
      <c r="AG487" s="4">
        <v>1</v>
      </c>
      <c r="AH487" s="4">
        <v>1</v>
      </c>
      <c r="AI487" s="4">
        <v>1</v>
      </c>
      <c r="AJ487" s="4">
        <v>4</v>
      </c>
      <c r="AK487" s="4">
        <v>4</v>
      </c>
      <c r="AL487" s="4">
        <v>2</v>
      </c>
      <c r="AM487" s="4">
        <v>2</v>
      </c>
      <c r="AN487" s="4">
        <v>0</v>
      </c>
      <c r="AO487" s="4">
        <v>0</v>
      </c>
      <c r="AP487" s="3" t="s">
        <v>58</v>
      </c>
      <c r="AQ487" s="3" t="s">
        <v>58</v>
      </c>
      <c r="AS487" s="6" t="str">
        <f>HYPERLINK("https://creighton-primo.hosted.exlibrisgroup.com/primo-explore/search?tab=default_tab&amp;search_scope=EVERYTHING&amp;vid=01CRU&amp;lang=en_US&amp;offset=0&amp;query=any,contains,991001716319702656","Catalog Record")</f>
        <v>Catalog Record</v>
      </c>
      <c r="AT487" s="6" t="str">
        <f>HYPERLINK("http://www.worldcat.org/oclc/49679803","WorldCat Record")</f>
        <v>WorldCat Record</v>
      </c>
      <c r="AU487" s="3" t="s">
        <v>1045</v>
      </c>
      <c r="AV487" s="3" t="s">
        <v>1046</v>
      </c>
      <c r="AW487" s="3" t="s">
        <v>1047</v>
      </c>
      <c r="AX487" s="3" t="s">
        <v>1047</v>
      </c>
      <c r="AY487" s="3" t="s">
        <v>6249</v>
      </c>
      <c r="AZ487" s="3" t="s">
        <v>73</v>
      </c>
      <c r="BB487" s="3" t="s">
        <v>1049</v>
      </c>
      <c r="BC487" s="3" t="s">
        <v>6250</v>
      </c>
      <c r="BD487" s="3" t="s">
        <v>6251</v>
      </c>
    </row>
    <row r="488" spans="1:56" ht="45" customHeight="1" x14ac:dyDescent="0.25">
      <c r="A488" s="8" t="s">
        <v>58</v>
      </c>
      <c r="B488" s="2" t="s">
        <v>1065</v>
      </c>
      <c r="C488" s="2" t="s">
        <v>1066</v>
      </c>
      <c r="D488" s="2" t="s">
        <v>1067</v>
      </c>
      <c r="F488" s="3" t="s">
        <v>58</v>
      </c>
      <c r="G488" s="3" t="s">
        <v>59</v>
      </c>
      <c r="H488" s="3" t="s">
        <v>68</v>
      </c>
      <c r="I488" s="3" t="s">
        <v>58</v>
      </c>
      <c r="J488" s="3" t="s">
        <v>60</v>
      </c>
      <c r="K488" s="2" t="s">
        <v>1068</v>
      </c>
      <c r="L488" s="2" t="s">
        <v>1069</v>
      </c>
      <c r="M488" s="3" t="s">
        <v>378</v>
      </c>
      <c r="O488" s="3" t="s">
        <v>64</v>
      </c>
      <c r="P488" s="3" t="s">
        <v>177</v>
      </c>
      <c r="R488" s="3" t="s">
        <v>66</v>
      </c>
      <c r="S488" s="4">
        <v>2</v>
      </c>
      <c r="T488" s="4">
        <v>15</v>
      </c>
      <c r="U488" s="5" t="s">
        <v>1071</v>
      </c>
      <c r="V488" s="5" t="s">
        <v>1071</v>
      </c>
      <c r="W488" s="5" t="s">
        <v>6252</v>
      </c>
      <c r="X488" s="5" t="s">
        <v>1072</v>
      </c>
      <c r="Y488" s="4">
        <v>1010</v>
      </c>
      <c r="Z488" s="4">
        <v>885</v>
      </c>
      <c r="AA488" s="4">
        <v>893</v>
      </c>
      <c r="AB488" s="4">
        <v>10</v>
      </c>
      <c r="AC488" s="4">
        <v>10</v>
      </c>
      <c r="AD488" s="4">
        <v>50</v>
      </c>
      <c r="AE488" s="4">
        <v>50</v>
      </c>
      <c r="AF488" s="4">
        <v>12</v>
      </c>
      <c r="AG488" s="4">
        <v>12</v>
      </c>
      <c r="AH488" s="4">
        <v>5</v>
      </c>
      <c r="AI488" s="4">
        <v>5</v>
      </c>
      <c r="AJ488" s="4">
        <v>20</v>
      </c>
      <c r="AK488" s="4">
        <v>20</v>
      </c>
      <c r="AL488" s="4">
        <v>4</v>
      </c>
      <c r="AM488" s="4">
        <v>4</v>
      </c>
      <c r="AN488" s="4">
        <v>17</v>
      </c>
      <c r="AO488" s="4">
        <v>17</v>
      </c>
      <c r="AP488" s="3" t="s">
        <v>58</v>
      </c>
      <c r="AQ488" s="3" t="s">
        <v>68</v>
      </c>
      <c r="AR488" s="6" t="str">
        <f>HYPERLINK("http://catalog.hathitrust.org/Record/000281382","HathiTrust Record")</f>
        <v>HathiTrust Record</v>
      </c>
      <c r="AS488" s="6" t="str">
        <f>HYPERLINK("https://creighton-primo.hosted.exlibrisgroup.com/primo-explore/search?tab=default_tab&amp;search_scope=EVERYTHING&amp;vid=01CRU&amp;lang=en_US&amp;offset=0&amp;query=any,contains,991001626379702656","Catalog Record")</f>
        <v>Catalog Record</v>
      </c>
      <c r="AT488" s="6" t="str">
        <f>HYPERLINK("http://www.worldcat.org/oclc/9946318","WorldCat Record")</f>
        <v>WorldCat Record</v>
      </c>
      <c r="AU488" s="3" t="s">
        <v>1073</v>
      </c>
      <c r="AV488" s="3" t="s">
        <v>1074</v>
      </c>
      <c r="AW488" s="3" t="s">
        <v>1075</v>
      </c>
      <c r="AX488" s="3" t="s">
        <v>1075</v>
      </c>
      <c r="AY488" s="3" t="s">
        <v>6253</v>
      </c>
      <c r="AZ488" s="3" t="s">
        <v>73</v>
      </c>
      <c r="BB488" s="3" t="s">
        <v>1077</v>
      </c>
      <c r="BC488" s="3" t="s">
        <v>6254</v>
      </c>
      <c r="BD488" s="3" t="s">
        <v>6255</v>
      </c>
    </row>
    <row r="489" spans="1:56" ht="45" customHeight="1" x14ac:dyDescent="0.25">
      <c r="A489" s="8" t="s">
        <v>58</v>
      </c>
      <c r="B489" s="2" t="s">
        <v>1093</v>
      </c>
      <c r="C489" s="2" t="s">
        <v>1094</v>
      </c>
      <c r="D489" s="2" t="s">
        <v>1095</v>
      </c>
      <c r="F489" s="3" t="s">
        <v>58</v>
      </c>
      <c r="G489" s="3" t="s">
        <v>59</v>
      </c>
      <c r="H489" s="3" t="s">
        <v>68</v>
      </c>
      <c r="I489" s="3" t="s">
        <v>58</v>
      </c>
      <c r="J489" s="3" t="s">
        <v>60</v>
      </c>
      <c r="L489" s="2" t="s">
        <v>1096</v>
      </c>
      <c r="M489" s="3" t="s">
        <v>494</v>
      </c>
      <c r="O489" s="3" t="s">
        <v>64</v>
      </c>
      <c r="P489" s="3" t="s">
        <v>250</v>
      </c>
      <c r="Q489" s="2" t="s">
        <v>1097</v>
      </c>
      <c r="R489" s="3" t="s">
        <v>66</v>
      </c>
      <c r="S489" s="4">
        <v>16</v>
      </c>
      <c r="T489" s="4">
        <v>26</v>
      </c>
      <c r="U489" s="5" t="s">
        <v>1098</v>
      </c>
      <c r="V489" s="5" t="s">
        <v>1098</v>
      </c>
      <c r="W489" s="5" t="s">
        <v>6256</v>
      </c>
      <c r="X489" s="5" t="s">
        <v>1028</v>
      </c>
      <c r="Y489" s="4">
        <v>373</v>
      </c>
      <c r="Z489" s="4">
        <v>321</v>
      </c>
      <c r="AA489" s="4">
        <v>354</v>
      </c>
      <c r="AB489" s="4">
        <v>4</v>
      </c>
      <c r="AC489" s="4">
        <v>4</v>
      </c>
      <c r="AD489" s="4">
        <v>16</v>
      </c>
      <c r="AE489" s="4">
        <v>18</v>
      </c>
      <c r="AF489" s="4">
        <v>3</v>
      </c>
      <c r="AG489" s="4">
        <v>5</v>
      </c>
      <c r="AH489" s="4">
        <v>4</v>
      </c>
      <c r="AI489" s="4">
        <v>5</v>
      </c>
      <c r="AJ489" s="4">
        <v>8</v>
      </c>
      <c r="AK489" s="4">
        <v>9</v>
      </c>
      <c r="AL489" s="4">
        <v>1</v>
      </c>
      <c r="AM489" s="4">
        <v>1</v>
      </c>
      <c r="AN489" s="4">
        <v>2</v>
      </c>
      <c r="AO489" s="4">
        <v>2</v>
      </c>
      <c r="AP489" s="3" t="s">
        <v>58</v>
      </c>
      <c r="AQ489" s="3" t="s">
        <v>68</v>
      </c>
      <c r="AR489" s="6" t="str">
        <f>HYPERLINK("http://catalog.hathitrust.org/Record/000387494","HathiTrust Record")</f>
        <v>HathiTrust Record</v>
      </c>
      <c r="AS489" s="6" t="str">
        <f>HYPERLINK("https://creighton-primo.hosted.exlibrisgroup.com/primo-explore/search?tab=default_tab&amp;search_scope=EVERYTHING&amp;vid=01CRU&amp;lang=en_US&amp;offset=0&amp;query=any,contains,991001805709702656","Catalog Record")</f>
        <v>Catalog Record</v>
      </c>
      <c r="AT489" s="6" t="str">
        <f>HYPERLINK("http://www.worldcat.org/oclc/12370863","WorldCat Record")</f>
        <v>WorldCat Record</v>
      </c>
      <c r="AU489" s="3" t="s">
        <v>1099</v>
      </c>
      <c r="AV489" s="3" t="s">
        <v>1100</v>
      </c>
      <c r="AW489" s="3" t="s">
        <v>1101</v>
      </c>
      <c r="AX489" s="3" t="s">
        <v>1101</v>
      </c>
      <c r="AY489" s="3" t="s">
        <v>6257</v>
      </c>
      <c r="AZ489" s="3" t="s">
        <v>73</v>
      </c>
      <c r="BB489" s="3" t="s">
        <v>1103</v>
      </c>
      <c r="BC489" s="3" t="s">
        <v>6258</v>
      </c>
      <c r="BD489" s="3" t="s">
        <v>6259</v>
      </c>
    </row>
    <row r="490" spans="1:56" ht="45" customHeight="1" x14ac:dyDescent="0.25">
      <c r="A490" s="8" t="s">
        <v>58</v>
      </c>
      <c r="B490" s="2" t="s">
        <v>6260</v>
      </c>
      <c r="C490" s="2" t="s">
        <v>6261</v>
      </c>
      <c r="D490" s="2" t="s">
        <v>6262</v>
      </c>
      <c r="F490" s="3" t="s">
        <v>58</v>
      </c>
      <c r="G490" s="3" t="s">
        <v>59</v>
      </c>
      <c r="H490" s="3" t="s">
        <v>58</v>
      </c>
      <c r="I490" s="3" t="s">
        <v>58</v>
      </c>
      <c r="J490" s="3" t="s">
        <v>60</v>
      </c>
      <c r="K490" s="2" t="s">
        <v>6263</v>
      </c>
      <c r="L490" s="2" t="s">
        <v>6264</v>
      </c>
      <c r="M490" s="3" t="s">
        <v>6265</v>
      </c>
      <c r="O490" s="3" t="s">
        <v>64</v>
      </c>
      <c r="P490" s="3" t="s">
        <v>6266</v>
      </c>
      <c r="R490" s="3" t="s">
        <v>66</v>
      </c>
      <c r="S490" s="4">
        <v>0</v>
      </c>
      <c r="T490" s="4">
        <v>0</v>
      </c>
      <c r="U490" s="5" t="s">
        <v>6267</v>
      </c>
      <c r="V490" s="5" t="s">
        <v>6267</v>
      </c>
      <c r="W490" s="5" t="s">
        <v>6268</v>
      </c>
      <c r="X490" s="5" t="s">
        <v>6268</v>
      </c>
      <c r="Y490" s="4">
        <v>122</v>
      </c>
      <c r="Z490" s="4">
        <v>104</v>
      </c>
      <c r="AA490" s="4">
        <v>118</v>
      </c>
      <c r="AB490" s="4">
        <v>3</v>
      </c>
      <c r="AC490" s="4">
        <v>3</v>
      </c>
      <c r="AD490" s="4">
        <v>3</v>
      </c>
      <c r="AE490" s="4">
        <v>3</v>
      </c>
      <c r="AF490" s="4">
        <v>0</v>
      </c>
      <c r="AG490" s="4">
        <v>0</v>
      </c>
      <c r="AH490" s="4">
        <v>1</v>
      </c>
      <c r="AI490" s="4">
        <v>1</v>
      </c>
      <c r="AJ490" s="4">
        <v>0</v>
      </c>
      <c r="AK490" s="4">
        <v>0</v>
      </c>
      <c r="AL490" s="4">
        <v>2</v>
      </c>
      <c r="AM490" s="4">
        <v>2</v>
      </c>
      <c r="AN490" s="4">
        <v>0</v>
      </c>
      <c r="AO490" s="4">
        <v>0</v>
      </c>
      <c r="AP490" s="3" t="s">
        <v>68</v>
      </c>
      <c r="AQ490" s="3" t="s">
        <v>58</v>
      </c>
      <c r="AR490" s="6" t="str">
        <f>HYPERLINK("http://catalog.hathitrust.org/Record/001570539","HathiTrust Record")</f>
        <v>HathiTrust Record</v>
      </c>
      <c r="AS490" s="6" t="str">
        <f>HYPERLINK("https://creighton-primo.hosted.exlibrisgroup.com/primo-explore/search?tab=default_tab&amp;search_scope=EVERYTHING&amp;vid=01CRU&amp;lang=en_US&amp;offset=0&amp;query=any,contains,991001436239702656","Catalog Record")</f>
        <v>Catalog Record</v>
      </c>
      <c r="AT490" s="6" t="str">
        <f>HYPERLINK("http://www.worldcat.org/oclc/1580915","WorldCat Record")</f>
        <v>WorldCat Record</v>
      </c>
      <c r="AU490" s="3" t="s">
        <v>6269</v>
      </c>
      <c r="AV490" s="3" t="s">
        <v>6270</v>
      </c>
      <c r="AW490" s="3" t="s">
        <v>6271</v>
      </c>
      <c r="AX490" s="3" t="s">
        <v>6271</v>
      </c>
      <c r="AY490" s="3" t="s">
        <v>6272</v>
      </c>
      <c r="AZ490" s="3" t="s">
        <v>73</v>
      </c>
      <c r="BC490" s="3" t="s">
        <v>6273</v>
      </c>
      <c r="BD490" s="3" t="s">
        <v>6274</v>
      </c>
    </row>
    <row r="491" spans="1:56" ht="45" customHeight="1" x14ac:dyDescent="0.25">
      <c r="A491" s="8" t="s">
        <v>58</v>
      </c>
      <c r="B491" s="2" t="s">
        <v>6275</v>
      </c>
      <c r="C491" s="2" t="s">
        <v>6276</v>
      </c>
      <c r="D491" s="2" t="s">
        <v>6277</v>
      </c>
      <c r="F491" s="3" t="s">
        <v>58</v>
      </c>
      <c r="G491" s="3" t="s">
        <v>59</v>
      </c>
      <c r="H491" s="3" t="s">
        <v>58</v>
      </c>
      <c r="I491" s="3" t="s">
        <v>68</v>
      </c>
      <c r="J491" s="3" t="s">
        <v>60</v>
      </c>
      <c r="L491" s="2" t="s">
        <v>6278</v>
      </c>
      <c r="M491" s="3" t="s">
        <v>234</v>
      </c>
      <c r="O491" s="3" t="s">
        <v>64</v>
      </c>
      <c r="P491" s="3" t="s">
        <v>130</v>
      </c>
      <c r="R491" s="3" t="s">
        <v>66</v>
      </c>
      <c r="S491" s="4">
        <v>11</v>
      </c>
      <c r="T491" s="4">
        <v>11</v>
      </c>
      <c r="U491" s="5" t="s">
        <v>6279</v>
      </c>
      <c r="V491" s="5" t="s">
        <v>6279</v>
      </c>
      <c r="W491" s="5" t="s">
        <v>6280</v>
      </c>
      <c r="X491" s="5" t="s">
        <v>6280</v>
      </c>
      <c r="Y491" s="4">
        <v>221</v>
      </c>
      <c r="Z491" s="4">
        <v>183</v>
      </c>
      <c r="AA491" s="4">
        <v>299</v>
      </c>
      <c r="AB491" s="4">
        <v>3</v>
      </c>
      <c r="AC491" s="4">
        <v>4</v>
      </c>
      <c r="AD491" s="4">
        <v>4</v>
      </c>
      <c r="AE491" s="4">
        <v>5</v>
      </c>
      <c r="AF491" s="4">
        <v>0</v>
      </c>
      <c r="AG491" s="4">
        <v>0</v>
      </c>
      <c r="AH491" s="4">
        <v>1</v>
      </c>
      <c r="AI491" s="4">
        <v>1</v>
      </c>
      <c r="AJ491" s="4">
        <v>1</v>
      </c>
      <c r="AK491" s="4">
        <v>1</v>
      </c>
      <c r="AL491" s="4">
        <v>2</v>
      </c>
      <c r="AM491" s="4">
        <v>3</v>
      </c>
      <c r="AN491" s="4">
        <v>0</v>
      </c>
      <c r="AO491" s="4">
        <v>0</v>
      </c>
      <c r="AP491" s="3" t="s">
        <v>58</v>
      </c>
      <c r="AQ491" s="3" t="s">
        <v>68</v>
      </c>
      <c r="AR491" s="6" t="str">
        <f>HYPERLINK("http://catalog.hathitrust.org/Record/000685501","HathiTrust Record")</f>
        <v>HathiTrust Record</v>
      </c>
      <c r="AS491" s="6" t="str">
        <f>HYPERLINK("https://creighton-primo.hosted.exlibrisgroup.com/primo-explore/search?tab=default_tab&amp;search_scope=EVERYTHING&amp;vid=01CRU&amp;lang=en_US&amp;offset=0&amp;query=any,contains,991001009299702656","Catalog Record")</f>
        <v>Catalog Record</v>
      </c>
      <c r="AT491" s="6" t="str">
        <f>HYPERLINK("http://www.worldcat.org/oclc/1844473","WorldCat Record")</f>
        <v>WorldCat Record</v>
      </c>
      <c r="AU491" s="3" t="s">
        <v>6281</v>
      </c>
      <c r="AV491" s="3" t="s">
        <v>6282</v>
      </c>
      <c r="AW491" s="3" t="s">
        <v>6283</v>
      </c>
      <c r="AX491" s="3" t="s">
        <v>6283</v>
      </c>
      <c r="AY491" s="3" t="s">
        <v>6284</v>
      </c>
      <c r="AZ491" s="3" t="s">
        <v>73</v>
      </c>
      <c r="BB491" s="3" t="s">
        <v>6285</v>
      </c>
      <c r="BC491" s="3" t="s">
        <v>6286</v>
      </c>
      <c r="BD491" s="3" t="s">
        <v>6287</v>
      </c>
    </row>
    <row r="492" spans="1:56" ht="45" customHeight="1" x14ac:dyDescent="0.25">
      <c r="A492" s="8" t="s">
        <v>58</v>
      </c>
      <c r="B492" s="2" t="s">
        <v>6288</v>
      </c>
      <c r="C492" s="2" t="s">
        <v>6289</v>
      </c>
      <c r="D492" s="2" t="s">
        <v>6290</v>
      </c>
      <c r="F492" s="3" t="s">
        <v>58</v>
      </c>
      <c r="G492" s="3" t="s">
        <v>59</v>
      </c>
      <c r="H492" s="3" t="s">
        <v>58</v>
      </c>
      <c r="I492" s="3" t="s">
        <v>58</v>
      </c>
      <c r="J492" s="3" t="s">
        <v>60</v>
      </c>
      <c r="L492" s="2" t="s">
        <v>6291</v>
      </c>
      <c r="M492" s="3" t="s">
        <v>407</v>
      </c>
      <c r="O492" s="3" t="s">
        <v>64</v>
      </c>
      <c r="P492" s="3" t="s">
        <v>177</v>
      </c>
      <c r="Q492" s="2" t="s">
        <v>6292</v>
      </c>
      <c r="R492" s="3" t="s">
        <v>66</v>
      </c>
      <c r="S492" s="4">
        <v>3</v>
      </c>
      <c r="T492" s="4">
        <v>3</v>
      </c>
      <c r="U492" s="5" t="s">
        <v>1438</v>
      </c>
      <c r="V492" s="5" t="s">
        <v>1438</v>
      </c>
      <c r="W492" s="5" t="s">
        <v>6293</v>
      </c>
      <c r="X492" s="5" t="s">
        <v>6293</v>
      </c>
      <c r="Y492" s="4">
        <v>251</v>
      </c>
      <c r="Z492" s="4">
        <v>192</v>
      </c>
      <c r="AA492" s="4">
        <v>194</v>
      </c>
      <c r="AB492" s="4">
        <v>2</v>
      </c>
      <c r="AC492" s="4">
        <v>2</v>
      </c>
      <c r="AD492" s="4">
        <v>3</v>
      </c>
      <c r="AE492" s="4">
        <v>3</v>
      </c>
      <c r="AF492" s="4">
        <v>1</v>
      </c>
      <c r="AG492" s="4">
        <v>1</v>
      </c>
      <c r="AH492" s="4">
        <v>1</v>
      </c>
      <c r="AI492" s="4">
        <v>1</v>
      </c>
      <c r="AJ492" s="4">
        <v>1</v>
      </c>
      <c r="AK492" s="4">
        <v>1</v>
      </c>
      <c r="AL492" s="4">
        <v>1</v>
      </c>
      <c r="AM492" s="4">
        <v>1</v>
      </c>
      <c r="AN492" s="4">
        <v>0</v>
      </c>
      <c r="AO492" s="4">
        <v>0</v>
      </c>
      <c r="AP492" s="3" t="s">
        <v>58</v>
      </c>
      <c r="AQ492" s="3" t="s">
        <v>68</v>
      </c>
      <c r="AR492" s="6" t="str">
        <f>HYPERLINK("http://catalog.hathitrust.org/Record/000211849","HathiTrust Record")</f>
        <v>HathiTrust Record</v>
      </c>
      <c r="AS492" s="6" t="str">
        <f>HYPERLINK("https://creighton-primo.hosted.exlibrisgroup.com/primo-explore/search?tab=default_tab&amp;search_scope=EVERYTHING&amp;vid=01CRU&amp;lang=en_US&amp;offset=0&amp;query=any,contains,991001007009702656","Catalog Record")</f>
        <v>Catalog Record</v>
      </c>
      <c r="AT492" s="6" t="str">
        <f>HYPERLINK("http://www.worldcat.org/oclc/2847721","WorldCat Record")</f>
        <v>WorldCat Record</v>
      </c>
      <c r="AU492" s="3" t="s">
        <v>6294</v>
      </c>
      <c r="AV492" s="3" t="s">
        <v>6295</v>
      </c>
      <c r="AW492" s="3" t="s">
        <v>6296</v>
      </c>
      <c r="AX492" s="3" t="s">
        <v>6296</v>
      </c>
      <c r="AY492" s="3" t="s">
        <v>6297</v>
      </c>
      <c r="AZ492" s="3" t="s">
        <v>73</v>
      </c>
      <c r="BB492" s="3" t="s">
        <v>6298</v>
      </c>
      <c r="BC492" s="3" t="s">
        <v>6299</v>
      </c>
      <c r="BD492" s="3" t="s">
        <v>6300</v>
      </c>
    </row>
    <row r="493" spans="1:56" ht="45" customHeight="1" x14ac:dyDescent="0.25">
      <c r="A493" s="8" t="s">
        <v>58</v>
      </c>
      <c r="B493" s="2" t="s">
        <v>6301</v>
      </c>
      <c r="C493" s="2" t="s">
        <v>6302</v>
      </c>
      <c r="D493" s="2" t="s">
        <v>6303</v>
      </c>
      <c r="F493" s="3" t="s">
        <v>58</v>
      </c>
      <c r="G493" s="3" t="s">
        <v>59</v>
      </c>
      <c r="H493" s="3" t="s">
        <v>58</v>
      </c>
      <c r="I493" s="3" t="s">
        <v>68</v>
      </c>
      <c r="J493" s="3" t="s">
        <v>60</v>
      </c>
      <c r="K493" s="2" t="s">
        <v>6304</v>
      </c>
      <c r="L493" s="2" t="s">
        <v>6305</v>
      </c>
      <c r="M493" s="3" t="s">
        <v>5164</v>
      </c>
      <c r="N493" s="2" t="s">
        <v>451</v>
      </c>
      <c r="O493" s="3" t="s">
        <v>64</v>
      </c>
      <c r="P493" s="3" t="s">
        <v>114</v>
      </c>
      <c r="R493" s="3" t="s">
        <v>66</v>
      </c>
      <c r="S493" s="4">
        <v>0</v>
      </c>
      <c r="T493" s="4">
        <v>0</v>
      </c>
      <c r="U493" s="5" t="s">
        <v>6306</v>
      </c>
      <c r="V493" s="5" t="s">
        <v>6306</v>
      </c>
      <c r="W493" s="5" t="s">
        <v>6307</v>
      </c>
      <c r="X493" s="5" t="s">
        <v>6307</v>
      </c>
      <c r="Y493" s="4">
        <v>117</v>
      </c>
      <c r="Z493" s="4">
        <v>65</v>
      </c>
      <c r="AA493" s="4">
        <v>509</v>
      </c>
      <c r="AB493" s="4">
        <v>1</v>
      </c>
      <c r="AC493" s="4">
        <v>27</v>
      </c>
      <c r="AD493" s="4">
        <v>3</v>
      </c>
      <c r="AE493" s="4">
        <v>21</v>
      </c>
      <c r="AF493" s="4">
        <v>1</v>
      </c>
      <c r="AG493" s="4">
        <v>5</v>
      </c>
      <c r="AH493" s="4">
        <v>2</v>
      </c>
      <c r="AI493" s="4">
        <v>3</v>
      </c>
      <c r="AJ493" s="4">
        <v>1</v>
      </c>
      <c r="AK493" s="4">
        <v>3</v>
      </c>
      <c r="AL493" s="4">
        <v>0</v>
      </c>
      <c r="AM493" s="4">
        <v>12</v>
      </c>
      <c r="AN493" s="4">
        <v>0</v>
      </c>
      <c r="AO493" s="4">
        <v>0</v>
      </c>
      <c r="AP493" s="3" t="s">
        <v>58</v>
      </c>
      <c r="AQ493" s="3" t="s">
        <v>58</v>
      </c>
      <c r="AS493" s="6" t="str">
        <f>HYPERLINK("https://creighton-primo.hosted.exlibrisgroup.com/primo-explore/search?tab=default_tab&amp;search_scope=EVERYTHING&amp;vid=01CRU&amp;lang=en_US&amp;offset=0&amp;query=any,contains,991000387829702656","Catalog Record")</f>
        <v>Catalog Record</v>
      </c>
      <c r="AT493" s="6" t="str">
        <f>HYPERLINK("http://www.worldcat.org/oclc/54914006","WorldCat Record")</f>
        <v>WorldCat Record</v>
      </c>
      <c r="AU493" s="3" t="s">
        <v>6308</v>
      </c>
      <c r="AV493" s="3" t="s">
        <v>6309</v>
      </c>
      <c r="AW493" s="3" t="s">
        <v>6310</v>
      </c>
      <c r="AX493" s="3" t="s">
        <v>6310</v>
      </c>
      <c r="AY493" s="3" t="s">
        <v>6311</v>
      </c>
      <c r="AZ493" s="3" t="s">
        <v>73</v>
      </c>
      <c r="BB493" s="3" t="s">
        <v>6312</v>
      </c>
      <c r="BC493" s="3" t="s">
        <v>6313</v>
      </c>
      <c r="BD493" s="3" t="s">
        <v>6314</v>
      </c>
    </row>
    <row r="494" spans="1:56" ht="45" customHeight="1" x14ac:dyDescent="0.25">
      <c r="A494" s="8" t="s">
        <v>58</v>
      </c>
      <c r="B494" s="2" t="s">
        <v>1827</v>
      </c>
      <c r="C494" s="2" t="s">
        <v>1828</v>
      </c>
      <c r="D494" s="2" t="s">
        <v>1829</v>
      </c>
      <c r="F494" s="3" t="s">
        <v>58</v>
      </c>
      <c r="G494" s="3" t="s">
        <v>59</v>
      </c>
      <c r="H494" s="3" t="s">
        <v>68</v>
      </c>
      <c r="I494" s="3" t="s">
        <v>58</v>
      </c>
      <c r="J494" s="3" t="s">
        <v>60</v>
      </c>
      <c r="K494" s="2" t="s">
        <v>1830</v>
      </c>
      <c r="L494" s="2" t="s">
        <v>707</v>
      </c>
      <c r="M494" s="3" t="s">
        <v>480</v>
      </c>
      <c r="O494" s="3" t="s">
        <v>64</v>
      </c>
      <c r="P494" s="3" t="s">
        <v>191</v>
      </c>
      <c r="R494" s="3" t="s">
        <v>66</v>
      </c>
      <c r="S494" s="4">
        <v>9</v>
      </c>
      <c r="T494" s="4">
        <v>10</v>
      </c>
      <c r="U494" s="5" t="s">
        <v>1831</v>
      </c>
      <c r="V494" s="5" t="s">
        <v>1831</v>
      </c>
      <c r="W494" s="5" t="s">
        <v>6315</v>
      </c>
      <c r="X494" s="5" t="s">
        <v>1832</v>
      </c>
      <c r="Y494" s="4">
        <v>162</v>
      </c>
      <c r="Z494" s="4">
        <v>142</v>
      </c>
      <c r="AA494" s="4">
        <v>238</v>
      </c>
      <c r="AB494" s="4">
        <v>2</v>
      </c>
      <c r="AC494" s="4">
        <v>2</v>
      </c>
      <c r="AD494" s="4">
        <v>2</v>
      </c>
      <c r="AE494" s="4">
        <v>2</v>
      </c>
      <c r="AF494" s="4">
        <v>2</v>
      </c>
      <c r="AG494" s="4">
        <v>2</v>
      </c>
      <c r="AH494" s="4">
        <v>1</v>
      </c>
      <c r="AI494" s="4">
        <v>1</v>
      </c>
      <c r="AJ494" s="4">
        <v>1</v>
      </c>
      <c r="AK494" s="4">
        <v>1</v>
      </c>
      <c r="AL494" s="4">
        <v>0</v>
      </c>
      <c r="AM494" s="4">
        <v>0</v>
      </c>
      <c r="AN494" s="4">
        <v>0</v>
      </c>
      <c r="AO494" s="4">
        <v>0</v>
      </c>
      <c r="AP494" s="3" t="s">
        <v>58</v>
      </c>
      <c r="AQ494" s="3" t="s">
        <v>58</v>
      </c>
      <c r="AS494" s="6" t="str">
        <f>HYPERLINK("https://creighton-primo.hosted.exlibrisgroup.com/primo-explore/search?tab=default_tab&amp;search_scope=EVERYTHING&amp;vid=01CRU&amp;lang=en_US&amp;offset=0&amp;query=any,contains,991001791109702656","Catalog Record")</f>
        <v>Catalog Record</v>
      </c>
      <c r="AT494" s="6" t="str">
        <f>HYPERLINK("http://www.worldcat.org/oclc/8763040","WorldCat Record")</f>
        <v>WorldCat Record</v>
      </c>
      <c r="AU494" s="3" t="s">
        <v>1833</v>
      </c>
      <c r="AV494" s="3" t="s">
        <v>1834</v>
      </c>
      <c r="AW494" s="3" t="s">
        <v>1835</v>
      </c>
      <c r="AX494" s="3" t="s">
        <v>1835</v>
      </c>
      <c r="AY494" s="3" t="s">
        <v>6316</v>
      </c>
      <c r="AZ494" s="3" t="s">
        <v>73</v>
      </c>
      <c r="BB494" s="3" t="s">
        <v>1837</v>
      </c>
      <c r="BC494" s="3" t="s">
        <v>6317</v>
      </c>
      <c r="BD494" s="3" t="s">
        <v>6318</v>
      </c>
    </row>
    <row r="495" spans="1:56" ht="45" customHeight="1" x14ac:dyDescent="0.25">
      <c r="A495" s="8" t="s">
        <v>58</v>
      </c>
      <c r="B495" s="2" t="s">
        <v>2280</v>
      </c>
      <c r="C495" s="2" t="s">
        <v>2281</v>
      </c>
      <c r="D495" s="2" t="s">
        <v>2282</v>
      </c>
      <c r="F495" s="3" t="s">
        <v>68</v>
      </c>
      <c r="G495" s="3" t="s">
        <v>59</v>
      </c>
      <c r="H495" s="3" t="s">
        <v>68</v>
      </c>
      <c r="I495" s="3" t="s">
        <v>58</v>
      </c>
      <c r="J495" s="3" t="s">
        <v>60</v>
      </c>
      <c r="L495" s="2" t="s">
        <v>2283</v>
      </c>
      <c r="M495" s="3" t="s">
        <v>82</v>
      </c>
      <c r="O495" s="3" t="s">
        <v>64</v>
      </c>
      <c r="P495" s="3" t="s">
        <v>177</v>
      </c>
      <c r="R495" s="3" t="s">
        <v>66</v>
      </c>
      <c r="S495" s="4">
        <v>3</v>
      </c>
      <c r="T495" s="4">
        <v>5</v>
      </c>
      <c r="U495" s="5" t="s">
        <v>2284</v>
      </c>
      <c r="V495" s="5" t="s">
        <v>2284</v>
      </c>
      <c r="W495" s="5" t="s">
        <v>6252</v>
      </c>
      <c r="X495" s="5" t="s">
        <v>1926</v>
      </c>
      <c r="Y495" s="4">
        <v>702</v>
      </c>
      <c r="Z495" s="4">
        <v>594</v>
      </c>
      <c r="AA495" s="4">
        <v>601</v>
      </c>
      <c r="AB495" s="4">
        <v>6</v>
      </c>
      <c r="AC495" s="4">
        <v>6</v>
      </c>
      <c r="AD495" s="4">
        <v>12</v>
      </c>
      <c r="AE495" s="4">
        <v>12</v>
      </c>
      <c r="AF495" s="4">
        <v>0</v>
      </c>
      <c r="AG495" s="4">
        <v>0</v>
      </c>
      <c r="AH495" s="4">
        <v>3</v>
      </c>
      <c r="AI495" s="4">
        <v>3</v>
      </c>
      <c r="AJ495" s="4">
        <v>7</v>
      </c>
      <c r="AK495" s="4">
        <v>7</v>
      </c>
      <c r="AL495" s="4">
        <v>3</v>
      </c>
      <c r="AM495" s="4">
        <v>3</v>
      </c>
      <c r="AN495" s="4">
        <v>0</v>
      </c>
      <c r="AO495" s="4">
        <v>0</v>
      </c>
      <c r="AP495" s="3" t="s">
        <v>58</v>
      </c>
      <c r="AQ495" s="3" t="s">
        <v>68</v>
      </c>
      <c r="AR495" s="6" t="str">
        <f>HYPERLINK("http://catalog.hathitrust.org/Record/000103705","HathiTrust Record")</f>
        <v>HathiTrust Record</v>
      </c>
      <c r="AS495" s="6" t="str">
        <f>HYPERLINK("https://creighton-primo.hosted.exlibrisgroup.com/primo-explore/search?tab=default_tab&amp;search_scope=EVERYTHING&amp;vid=01CRU&amp;lang=en_US&amp;offset=0&amp;query=any,contains,991001772539702656","Catalog Record")</f>
        <v>Catalog Record</v>
      </c>
      <c r="AT495" s="6" t="str">
        <f>HYPERLINK("http://www.worldcat.org/oclc/4570504","WorldCat Record")</f>
        <v>WorldCat Record</v>
      </c>
      <c r="AU495" s="3" t="s">
        <v>2285</v>
      </c>
      <c r="AV495" s="3" t="s">
        <v>2286</v>
      </c>
      <c r="AW495" s="3" t="s">
        <v>2287</v>
      </c>
      <c r="AX495" s="3" t="s">
        <v>2287</v>
      </c>
      <c r="AY495" s="3" t="s">
        <v>6319</v>
      </c>
      <c r="AZ495" s="3" t="s">
        <v>73</v>
      </c>
      <c r="BB495" s="3" t="s">
        <v>2289</v>
      </c>
      <c r="BC495" s="3" t="s">
        <v>6320</v>
      </c>
      <c r="BD495" s="3" t="s">
        <v>6321</v>
      </c>
    </row>
    <row r="496" spans="1:56" ht="45" customHeight="1" x14ac:dyDescent="0.25">
      <c r="A496" s="8" t="s">
        <v>58</v>
      </c>
      <c r="B496" s="2" t="s">
        <v>2339</v>
      </c>
      <c r="C496" s="2" t="s">
        <v>2340</v>
      </c>
      <c r="D496" s="2" t="s">
        <v>2341</v>
      </c>
      <c r="F496" s="3" t="s">
        <v>58</v>
      </c>
      <c r="G496" s="3" t="s">
        <v>59</v>
      </c>
      <c r="H496" s="3" t="s">
        <v>68</v>
      </c>
      <c r="I496" s="3" t="s">
        <v>58</v>
      </c>
      <c r="J496" s="3" t="s">
        <v>60</v>
      </c>
      <c r="K496" s="2" t="s">
        <v>2342</v>
      </c>
      <c r="L496" s="2" t="s">
        <v>2343</v>
      </c>
      <c r="M496" s="3" t="s">
        <v>2344</v>
      </c>
      <c r="N496" s="2" t="s">
        <v>791</v>
      </c>
      <c r="O496" s="3" t="s">
        <v>64</v>
      </c>
      <c r="P496" s="3" t="s">
        <v>177</v>
      </c>
      <c r="R496" s="3" t="s">
        <v>66</v>
      </c>
      <c r="S496" s="4">
        <v>1</v>
      </c>
      <c r="T496" s="4">
        <v>4</v>
      </c>
      <c r="V496" s="5" t="s">
        <v>2345</v>
      </c>
      <c r="W496" s="5" t="s">
        <v>6322</v>
      </c>
      <c r="X496" s="5" t="s">
        <v>2346</v>
      </c>
      <c r="Y496" s="4">
        <v>567</v>
      </c>
      <c r="Z496" s="4">
        <v>469</v>
      </c>
      <c r="AA496" s="4">
        <v>535</v>
      </c>
      <c r="AB496" s="4">
        <v>5</v>
      </c>
      <c r="AC496" s="4">
        <v>5</v>
      </c>
      <c r="AD496" s="4">
        <v>20</v>
      </c>
      <c r="AE496" s="4">
        <v>20</v>
      </c>
      <c r="AF496" s="4">
        <v>6</v>
      </c>
      <c r="AG496" s="4">
        <v>6</v>
      </c>
      <c r="AH496" s="4">
        <v>5</v>
      </c>
      <c r="AI496" s="4">
        <v>5</v>
      </c>
      <c r="AJ496" s="4">
        <v>11</v>
      </c>
      <c r="AK496" s="4">
        <v>11</v>
      </c>
      <c r="AL496" s="4">
        <v>3</v>
      </c>
      <c r="AM496" s="4">
        <v>3</v>
      </c>
      <c r="AN496" s="4">
        <v>0</v>
      </c>
      <c r="AO496" s="4">
        <v>0</v>
      </c>
      <c r="AP496" s="3" t="s">
        <v>58</v>
      </c>
      <c r="AQ496" s="3" t="s">
        <v>58</v>
      </c>
      <c r="AR496" s="6" t="str">
        <f>HYPERLINK("http://catalog.hathitrust.org/Record/001570797","HathiTrust Record")</f>
        <v>HathiTrust Record</v>
      </c>
      <c r="AS496" s="6" t="str">
        <f>HYPERLINK("https://creighton-primo.hosted.exlibrisgroup.com/primo-explore/search?tab=default_tab&amp;search_scope=EVERYTHING&amp;vid=01CRU&amp;lang=en_US&amp;offset=0&amp;query=any,contains,991001772479702656","Catalog Record")</f>
        <v>Catalog Record</v>
      </c>
      <c r="AT496" s="6" t="str">
        <f>HYPERLINK("http://www.worldcat.org/oclc/638204","WorldCat Record")</f>
        <v>WorldCat Record</v>
      </c>
      <c r="AU496" s="3" t="s">
        <v>2347</v>
      </c>
      <c r="AV496" s="3" t="s">
        <v>2348</v>
      </c>
      <c r="AW496" s="3" t="s">
        <v>2349</v>
      </c>
      <c r="AX496" s="3" t="s">
        <v>2349</v>
      </c>
      <c r="AY496" s="3" t="s">
        <v>6323</v>
      </c>
      <c r="AZ496" s="3" t="s">
        <v>73</v>
      </c>
      <c r="BC496" s="3" t="s">
        <v>6324</v>
      </c>
      <c r="BD496" s="3" t="s">
        <v>6325</v>
      </c>
    </row>
    <row r="497" spans="1:56" ht="45" customHeight="1" x14ac:dyDescent="0.25">
      <c r="A497" s="8" t="s">
        <v>58</v>
      </c>
      <c r="B497" s="2" t="s">
        <v>2651</v>
      </c>
      <c r="C497" s="2" t="s">
        <v>2652</v>
      </c>
      <c r="D497" s="2" t="s">
        <v>2653</v>
      </c>
      <c r="F497" s="3" t="s">
        <v>58</v>
      </c>
      <c r="G497" s="3" t="s">
        <v>59</v>
      </c>
      <c r="H497" s="3" t="s">
        <v>68</v>
      </c>
      <c r="I497" s="3" t="s">
        <v>58</v>
      </c>
      <c r="J497" s="3" t="s">
        <v>60</v>
      </c>
      <c r="K497" s="2" t="s">
        <v>2654</v>
      </c>
      <c r="L497" s="2" t="s">
        <v>2655</v>
      </c>
      <c r="M497" s="3" t="s">
        <v>350</v>
      </c>
      <c r="O497" s="3" t="s">
        <v>64</v>
      </c>
      <c r="P497" s="3" t="s">
        <v>147</v>
      </c>
      <c r="R497" s="3" t="s">
        <v>66</v>
      </c>
      <c r="S497" s="4">
        <v>1</v>
      </c>
      <c r="T497" s="4">
        <v>1</v>
      </c>
      <c r="U497" s="5" t="s">
        <v>2656</v>
      </c>
      <c r="V497" s="5" t="s">
        <v>2656</v>
      </c>
      <c r="W497" s="5" t="s">
        <v>6326</v>
      </c>
      <c r="X497" s="5" t="s">
        <v>2657</v>
      </c>
      <c r="Y497" s="4">
        <v>513</v>
      </c>
      <c r="Z497" s="4">
        <v>417</v>
      </c>
      <c r="AA497" s="4">
        <v>425</v>
      </c>
      <c r="AB497" s="4">
        <v>5</v>
      </c>
      <c r="AC497" s="4">
        <v>5</v>
      </c>
      <c r="AD497" s="4">
        <v>16</v>
      </c>
      <c r="AE497" s="4">
        <v>16</v>
      </c>
      <c r="AF497" s="4">
        <v>5</v>
      </c>
      <c r="AG497" s="4">
        <v>5</v>
      </c>
      <c r="AH497" s="4">
        <v>4</v>
      </c>
      <c r="AI497" s="4">
        <v>4</v>
      </c>
      <c r="AJ497" s="4">
        <v>8</v>
      </c>
      <c r="AK497" s="4">
        <v>8</v>
      </c>
      <c r="AL497" s="4">
        <v>2</v>
      </c>
      <c r="AM497" s="4">
        <v>2</v>
      </c>
      <c r="AN497" s="4">
        <v>0</v>
      </c>
      <c r="AO497" s="4">
        <v>0</v>
      </c>
      <c r="AP497" s="3" t="s">
        <v>58</v>
      </c>
      <c r="AQ497" s="3" t="s">
        <v>68</v>
      </c>
      <c r="AR497" s="6" t="str">
        <f>HYPERLINK("http://catalog.hathitrust.org/Record/001570843","HathiTrust Record")</f>
        <v>HathiTrust Record</v>
      </c>
      <c r="AS497" s="6" t="str">
        <f>HYPERLINK("https://creighton-primo.hosted.exlibrisgroup.com/primo-explore/search?tab=default_tab&amp;search_scope=EVERYTHING&amp;vid=01CRU&amp;lang=en_US&amp;offset=0&amp;query=any,contains,991001772729702656","Catalog Record")</f>
        <v>Catalog Record</v>
      </c>
      <c r="AT497" s="6" t="str">
        <f>HYPERLINK("http://www.worldcat.org/oclc/584826","WorldCat Record")</f>
        <v>WorldCat Record</v>
      </c>
      <c r="AU497" s="3" t="s">
        <v>2658</v>
      </c>
      <c r="AV497" s="3" t="s">
        <v>2659</v>
      </c>
      <c r="AW497" s="3" t="s">
        <v>2660</v>
      </c>
      <c r="AX497" s="3" t="s">
        <v>2660</v>
      </c>
      <c r="AY497" s="3" t="s">
        <v>6327</v>
      </c>
      <c r="AZ497" s="3" t="s">
        <v>73</v>
      </c>
      <c r="BB497" s="3" t="s">
        <v>2662</v>
      </c>
      <c r="BC497" s="3" t="s">
        <v>6328</v>
      </c>
      <c r="BD497" s="3" t="s">
        <v>6329</v>
      </c>
    </row>
    <row r="498" spans="1:56" ht="45" customHeight="1" x14ac:dyDescent="0.25">
      <c r="A498" s="8" t="s">
        <v>58</v>
      </c>
      <c r="B498" s="2" t="s">
        <v>2989</v>
      </c>
      <c r="C498" s="2" t="s">
        <v>2990</v>
      </c>
      <c r="D498" s="2" t="s">
        <v>2991</v>
      </c>
      <c r="F498" s="3" t="s">
        <v>58</v>
      </c>
      <c r="G498" s="3" t="s">
        <v>59</v>
      </c>
      <c r="H498" s="3" t="s">
        <v>68</v>
      </c>
      <c r="I498" s="3" t="s">
        <v>58</v>
      </c>
      <c r="J498" s="3" t="s">
        <v>60</v>
      </c>
      <c r="K498" s="2" t="s">
        <v>2992</v>
      </c>
      <c r="L498" s="2" t="s">
        <v>2993</v>
      </c>
      <c r="M498" s="3" t="s">
        <v>2208</v>
      </c>
      <c r="O498" s="3" t="s">
        <v>64</v>
      </c>
      <c r="P498" s="3" t="s">
        <v>177</v>
      </c>
      <c r="R498" s="3" t="s">
        <v>66</v>
      </c>
      <c r="S498" s="4">
        <v>1</v>
      </c>
      <c r="T498" s="4">
        <v>4</v>
      </c>
      <c r="U498" s="5" t="s">
        <v>6330</v>
      </c>
      <c r="V498" s="5" t="s">
        <v>2994</v>
      </c>
      <c r="W498" s="5" t="s">
        <v>6331</v>
      </c>
      <c r="X498" s="5" t="s">
        <v>2995</v>
      </c>
      <c r="Y498" s="4">
        <v>421</v>
      </c>
      <c r="Z498" s="4">
        <v>368</v>
      </c>
      <c r="AA498" s="4">
        <v>372</v>
      </c>
      <c r="AB498" s="4">
        <v>5</v>
      </c>
      <c r="AC498" s="4">
        <v>5</v>
      </c>
      <c r="AD498" s="4">
        <v>12</v>
      </c>
      <c r="AE498" s="4">
        <v>12</v>
      </c>
      <c r="AF498" s="4">
        <v>2</v>
      </c>
      <c r="AG498" s="4">
        <v>2</v>
      </c>
      <c r="AH498" s="4">
        <v>2</v>
      </c>
      <c r="AI498" s="4">
        <v>2</v>
      </c>
      <c r="AJ498" s="4">
        <v>7</v>
      </c>
      <c r="AK498" s="4">
        <v>7</v>
      </c>
      <c r="AL498" s="4">
        <v>2</v>
      </c>
      <c r="AM498" s="4">
        <v>2</v>
      </c>
      <c r="AN498" s="4">
        <v>0</v>
      </c>
      <c r="AO498" s="4">
        <v>0</v>
      </c>
      <c r="AP498" s="3" t="s">
        <v>58</v>
      </c>
      <c r="AQ498" s="3" t="s">
        <v>68</v>
      </c>
      <c r="AR498" s="6" t="str">
        <f>HYPERLINK("http://catalog.hathitrust.org/Record/001570933","HathiTrust Record")</f>
        <v>HathiTrust Record</v>
      </c>
      <c r="AS498" s="6" t="str">
        <f>HYPERLINK("https://creighton-primo.hosted.exlibrisgroup.com/primo-explore/search?tab=default_tab&amp;search_scope=EVERYTHING&amp;vid=01CRU&amp;lang=en_US&amp;offset=0&amp;query=any,contains,991001761179702656","Catalog Record")</f>
        <v>Catalog Record</v>
      </c>
      <c r="AT498" s="6" t="str">
        <f>HYPERLINK("http://www.worldcat.org/oclc/23694","WorldCat Record")</f>
        <v>WorldCat Record</v>
      </c>
      <c r="AU498" s="3" t="s">
        <v>2996</v>
      </c>
      <c r="AV498" s="3" t="s">
        <v>2997</v>
      </c>
      <c r="AW498" s="3" t="s">
        <v>2998</v>
      </c>
      <c r="AX498" s="3" t="s">
        <v>2998</v>
      </c>
      <c r="AY498" s="3" t="s">
        <v>6332</v>
      </c>
      <c r="AZ498" s="3" t="s">
        <v>73</v>
      </c>
      <c r="BC498" s="3" t="s">
        <v>6333</v>
      </c>
      <c r="BD498" s="3" t="s">
        <v>6334</v>
      </c>
    </row>
    <row r="499" spans="1:56" ht="45" customHeight="1" x14ac:dyDescent="0.25">
      <c r="A499" s="8" t="s">
        <v>58</v>
      </c>
      <c r="B499" s="2" t="s">
        <v>3456</v>
      </c>
      <c r="C499" s="2" t="s">
        <v>3457</v>
      </c>
      <c r="D499" s="2" t="s">
        <v>3458</v>
      </c>
      <c r="F499" s="3" t="s">
        <v>58</v>
      </c>
      <c r="G499" s="3" t="s">
        <v>59</v>
      </c>
      <c r="H499" s="3" t="s">
        <v>68</v>
      </c>
      <c r="I499" s="3" t="s">
        <v>58</v>
      </c>
      <c r="J499" s="3" t="s">
        <v>60</v>
      </c>
      <c r="K499" s="2" t="s">
        <v>3459</v>
      </c>
      <c r="L499" s="2" t="s">
        <v>3460</v>
      </c>
      <c r="M499" s="3" t="s">
        <v>306</v>
      </c>
      <c r="N499" s="2" t="s">
        <v>791</v>
      </c>
      <c r="O499" s="3" t="s">
        <v>64</v>
      </c>
      <c r="P499" s="3" t="s">
        <v>177</v>
      </c>
      <c r="R499" s="3" t="s">
        <v>66</v>
      </c>
      <c r="S499" s="4">
        <v>2</v>
      </c>
      <c r="T499" s="4">
        <v>2</v>
      </c>
      <c r="U499" s="5" t="s">
        <v>3461</v>
      </c>
      <c r="V499" s="5" t="s">
        <v>3461</v>
      </c>
      <c r="W499" s="5" t="s">
        <v>6335</v>
      </c>
      <c r="X499" s="5" t="s">
        <v>236</v>
      </c>
      <c r="Y499" s="4">
        <v>1092</v>
      </c>
      <c r="Z499" s="4">
        <v>999</v>
      </c>
      <c r="AA499" s="4">
        <v>1077</v>
      </c>
      <c r="AB499" s="4">
        <v>8</v>
      </c>
      <c r="AC499" s="4">
        <v>9</v>
      </c>
      <c r="AD499" s="4">
        <v>28</v>
      </c>
      <c r="AE499" s="4">
        <v>32</v>
      </c>
      <c r="AF499" s="4">
        <v>12</v>
      </c>
      <c r="AG499" s="4">
        <v>14</v>
      </c>
      <c r="AH499" s="4">
        <v>5</v>
      </c>
      <c r="AI499" s="4">
        <v>5</v>
      </c>
      <c r="AJ499" s="4">
        <v>13</v>
      </c>
      <c r="AK499" s="4">
        <v>15</v>
      </c>
      <c r="AL499" s="4">
        <v>4</v>
      </c>
      <c r="AM499" s="4">
        <v>5</v>
      </c>
      <c r="AN499" s="4">
        <v>0</v>
      </c>
      <c r="AO499" s="4">
        <v>0</v>
      </c>
      <c r="AP499" s="3" t="s">
        <v>58</v>
      </c>
      <c r="AQ499" s="3" t="s">
        <v>68</v>
      </c>
      <c r="AR499" s="6" t="str">
        <f>HYPERLINK("http://catalog.hathitrust.org/Record/001570988","HathiTrust Record")</f>
        <v>HathiTrust Record</v>
      </c>
      <c r="AS499" s="6" t="str">
        <f>HYPERLINK("https://creighton-primo.hosted.exlibrisgroup.com/primo-explore/search?tab=default_tab&amp;search_scope=EVERYTHING&amp;vid=01CRU&amp;lang=en_US&amp;offset=0&amp;query=any,contains,991001790639702656","Catalog Record")</f>
        <v>Catalog Record</v>
      </c>
      <c r="AT499" s="6" t="str">
        <f>HYPERLINK("http://www.worldcat.org/oclc/700655","WorldCat Record")</f>
        <v>WorldCat Record</v>
      </c>
      <c r="AU499" s="3" t="s">
        <v>3462</v>
      </c>
      <c r="AV499" s="3" t="s">
        <v>3463</v>
      </c>
      <c r="AW499" s="3" t="s">
        <v>3464</v>
      </c>
      <c r="AX499" s="3" t="s">
        <v>3464</v>
      </c>
      <c r="AY499" s="3" t="s">
        <v>6336</v>
      </c>
      <c r="AZ499" s="3" t="s">
        <v>73</v>
      </c>
      <c r="BB499" s="3" t="s">
        <v>3466</v>
      </c>
      <c r="BC499" s="3" t="s">
        <v>6337</v>
      </c>
      <c r="BD499" s="3" t="s">
        <v>6338</v>
      </c>
    </row>
    <row r="500" spans="1:56" ht="45" customHeight="1" x14ac:dyDescent="0.25">
      <c r="A500" s="8" t="s">
        <v>58</v>
      </c>
      <c r="B500" s="2" t="s">
        <v>3686</v>
      </c>
      <c r="C500" s="2" t="s">
        <v>3687</v>
      </c>
      <c r="D500" s="2" t="s">
        <v>3688</v>
      </c>
      <c r="F500" s="3" t="s">
        <v>58</v>
      </c>
      <c r="G500" s="3" t="s">
        <v>59</v>
      </c>
      <c r="H500" s="3" t="s">
        <v>68</v>
      </c>
      <c r="I500" s="3" t="s">
        <v>58</v>
      </c>
      <c r="J500" s="3" t="s">
        <v>60</v>
      </c>
      <c r="L500" s="2" t="s">
        <v>3689</v>
      </c>
      <c r="M500" s="3" t="s">
        <v>552</v>
      </c>
      <c r="O500" s="3" t="s">
        <v>64</v>
      </c>
      <c r="P500" s="3" t="s">
        <v>177</v>
      </c>
      <c r="Q500" s="2" t="s">
        <v>3690</v>
      </c>
      <c r="R500" s="3" t="s">
        <v>66</v>
      </c>
      <c r="S500" s="4">
        <v>5</v>
      </c>
      <c r="T500" s="4">
        <v>6</v>
      </c>
      <c r="U500" s="5" t="s">
        <v>3691</v>
      </c>
      <c r="V500" s="5" t="s">
        <v>3691</v>
      </c>
      <c r="W500" s="5" t="s">
        <v>6339</v>
      </c>
      <c r="X500" s="5" t="s">
        <v>2876</v>
      </c>
      <c r="Y500" s="4">
        <v>210</v>
      </c>
      <c r="Z500" s="4">
        <v>172</v>
      </c>
      <c r="AA500" s="4">
        <v>174</v>
      </c>
      <c r="AB500" s="4">
        <v>3</v>
      </c>
      <c r="AC500" s="4">
        <v>3</v>
      </c>
      <c r="AD500" s="4">
        <v>10</v>
      </c>
      <c r="AE500" s="4">
        <v>10</v>
      </c>
      <c r="AF500" s="4">
        <v>1</v>
      </c>
      <c r="AG500" s="4">
        <v>1</v>
      </c>
      <c r="AH500" s="4">
        <v>4</v>
      </c>
      <c r="AI500" s="4">
        <v>4</v>
      </c>
      <c r="AJ500" s="4">
        <v>7</v>
      </c>
      <c r="AK500" s="4">
        <v>7</v>
      </c>
      <c r="AL500" s="4">
        <v>1</v>
      </c>
      <c r="AM500" s="4">
        <v>1</v>
      </c>
      <c r="AN500" s="4">
        <v>0</v>
      </c>
      <c r="AO500" s="4">
        <v>0</v>
      </c>
      <c r="AP500" s="3" t="s">
        <v>58</v>
      </c>
      <c r="AQ500" s="3" t="s">
        <v>68</v>
      </c>
      <c r="AR500" s="6" t="str">
        <f>HYPERLINK("http://catalog.hathitrust.org/Record/001842117","HathiTrust Record")</f>
        <v>HathiTrust Record</v>
      </c>
      <c r="AS500" s="6" t="str">
        <f>HYPERLINK("https://creighton-primo.hosted.exlibrisgroup.com/primo-explore/search?tab=default_tab&amp;search_scope=EVERYTHING&amp;vid=01CRU&amp;lang=en_US&amp;offset=0&amp;query=any,contains,991001800499702656","Catalog Record")</f>
        <v>Catalog Record</v>
      </c>
      <c r="AT500" s="6" t="str">
        <f>HYPERLINK("http://www.worldcat.org/oclc/20414325","WorldCat Record")</f>
        <v>WorldCat Record</v>
      </c>
      <c r="AU500" s="3" t="s">
        <v>3692</v>
      </c>
      <c r="AV500" s="3" t="s">
        <v>3693</v>
      </c>
      <c r="AW500" s="3" t="s">
        <v>3694</v>
      </c>
      <c r="AX500" s="3" t="s">
        <v>3694</v>
      </c>
      <c r="AY500" s="3" t="s">
        <v>6340</v>
      </c>
      <c r="AZ500" s="3" t="s">
        <v>73</v>
      </c>
      <c r="BB500" s="3" t="s">
        <v>3696</v>
      </c>
      <c r="BC500" s="3" t="s">
        <v>6341</v>
      </c>
      <c r="BD500" s="3" t="s">
        <v>6342</v>
      </c>
    </row>
    <row r="501" spans="1:56" ht="45" customHeight="1" x14ac:dyDescent="0.25">
      <c r="A501" s="8" t="s">
        <v>58</v>
      </c>
      <c r="B501" s="2" t="s">
        <v>3856</v>
      </c>
      <c r="C501" s="2" t="s">
        <v>3857</v>
      </c>
      <c r="D501" s="2" t="s">
        <v>3858</v>
      </c>
      <c r="F501" s="3" t="s">
        <v>58</v>
      </c>
      <c r="G501" s="3" t="s">
        <v>59</v>
      </c>
      <c r="H501" s="3" t="s">
        <v>68</v>
      </c>
      <c r="I501" s="3" t="s">
        <v>58</v>
      </c>
      <c r="J501" s="3" t="s">
        <v>60</v>
      </c>
      <c r="L501" s="2" t="s">
        <v>3859</v>
      </c>
      <c r="M501" s="3" t="s">
        <v>681</v>
      </c>
      <c r="O501" s="3" t="s">
        <v>64</v>
      </c>
      <c r="P501" s="3" t="s">
        <v>177</v>
      </c>
      <c r="Q501" s="2" t="s">
        <v>3860</v>
      </c>
      <c r="R501" s="3" t="s">
        <v>66</v>
      </c>
      <c r="S501" s="4">
        <v>13</v>
      </c>
      <c r="T501" s="4">
        <v>28</v>
      </c>
      <c r="U501" s="5" t="s">
        <v>3862</v>
      </c>
      <c r="V501" s="5" t="s">
        <v>3862</v>
      </c>
      <c r="W501" s="5" t="s">
        <v>6245</v>
      </c>
      <c r="X501" s="5" t="s">
        <v>3376</v>
      </c>
      <c r="Y501" s="4">
        <v>823</v>
      </c>
      <c r="Z501" s="4">
        <v>708</v>
      </c>
      <c r="AA501" s="4">
        <v>1088</v>
      </c>
      <c r="AB501" s="4">
        <v>6</v>
      </c>
      <c r="AC501" s="4">
        <v>10</v>
      </c>
      <c r="AD501" s="4">
        <v>30</v>
      </c>
      <c r="AE501" s="4">
        <v>49</v>
      </c>
      <c r="AF501" s="4">
        <v>12</v>
      </c>
      <c r="AG501" s="4">
        <v>21</v>
      </c>
      <c r="AH501" s="4">
        <v>7</v>
      </c>
      <c r="AI501" s="4">
        <v>10</v>
      </c>
      <c r="AJ501" s="4">
        <v>15</v>
      </c>
      <c r="AK501" s="4">
        <v>21</v>
      </c>
      <c r="AL501" s="4">
        <v>4</v>
      </c>
      <c r="AM501" s="4">
        <v>8</v>
      </c>
      <c r="AN501" s="4">
        <v>0</v>
      </c>
      <c r="AO501" s="4">
        <v>1</v>
      </c>
      <c r="AP501" s="3" t="s">
        <v>58</v>
      </c>
      <c r="AQ501" s="3" t="s">
        <v>68</v>
      </c>
      <c r="AR501" s="6" t="str">
        <f>HYPERLINK("http://catalog.hathitrust.org/Record/000475336","HathiTrust Record")</f>
        <v>HathiTrust Record</v>
      </c>
      <c r="AS501" s="6" t="str">
        <f>HYPERLINK("https://creighton-primo.hosted.exlibrisgroup.com/primo-explore/search?tab=default_tab&amp;search_scope=EVERYTHING&amp;vid=01CRU&amp;lang=en_US&amp;offset=0&amp;query=any,contains,991001772449702656","Catalog Record")</f>
        <v>Catalog Record</v>
      </c>
      <c r="AT501" s="6" t="str">
        <f>HYPERLINK("http://www.worldcat.org/oclc/9066768","WorldCat Record")</f>
        <v>WorldCat Record</v>
      </c>
      <c r="AU501" s="3" t="s">
        <v>3863</v>
      </c>
      <c r="AV501" s="3" t="s">
        <v>3864</v>
      </c>
      <c r="AW501" s="3" t="s">
        <v>3865</v>
      </c>
      <c r="AX501" s="3" t="s">
        <v>3865</v>
      </c>
      <c r="AY501" s="3" t="s">
        <v>6343</v>
      </c>
      <c r="AZ501" s="3" t="s">
        <v>73</v>
      </c>
      <c r="BB501" s="3" t="s">
        <v>3867</v>
      </c>
      <c r="BC501" s="3" t="s">
        <v>6344</v>
      </c>
      <c r="BD501" s="3" t="s">
        <v>6345</v>
      </c>
    </row>
    <row r="502" spans="1:56" ht="45" customHeight="1" x14ac:dyDescent="0.25">
      <c r="A502" s="8" t="s">
        <v>58</v>
      </c>
      <c r="B502" s="2" t="s">
        <v>4016</v>
      </c>
      <c r="C502" s="2" t="s">
        <v>4017</v>
      </c>
      <c r="D502" s="2" t="s">
        <v>4018</v>
      </c>
      <c r="F502" s="3" t="s">
        <v>58</v>
      </c>
      <c r="G502" s="3" t="s">
        <v>59</v>
      </c>
      <c r="H502" s="3" t="s">
        <v>68</v>
      </c>
      <c r="I502" s="3" t="s">
        <v>58</v>
      </c>
      <c r="J502" s="3" t="s">
        <v>60</v>
      </c>
      <c r="L502" s="2" t="s">
        <v>4019</v>
      </c>
      <c r="M502" s="3" t="s">
        <v>129</v>
      </c>
      <c r="O502" s="3" t="s">
        <v>64</v>
      </c>
      <c r="P502" s="3" t="s">
        <v>177</v>
      </c>
      <c r="Q502" s="2" t="s">
        <v>4020</v>
      </c>
      <c r="R502" s="3" t="s">
        <v>66</v>
      </c>
      <c r="S502" s="4">
        <v>10</v>
      </c>
      <c r="T502" s="4">
        <v>45</v>
      </c>
      <c r="U502" s="5" t="s">
        <v>3472</v>
      </c>
      <c r="V502" s="5" t="s">
        <v>4021</v>
      </c>
      <c r="W502" s="5" t="s">
        <v>6346</v>
      </c>
      <c r="X502" s="5" t="s">
        <v>2029</v>
      </c>
      <c r="Y502" s="4">
        <v>561</v>
      </c>
      <c r="Z502" s="4">
        <v>460</v>
      </c>
      <c r="AA502" s="4">
        <v>467</v>
      </c>
      <c r="AB502" s="4">
        <v>6</v>
      </c>
      <c r="AC502" s="4">
        <v>6</v>
      </c>
      <c r="AD502" s="4">
        <v>23</v>
      </c>
      <c r="AE502" s="4">
        <v>23</v>
      </c>
      <c r="AF502" s="4">
        <v>9</v>
      </c>
      <c r="AG502" s="4">
        <v>9</v>
      </c>
      <c r="AH502" s="4">
        <v>6</v>
      </c>
      <c r="AI502" s="4">
        <v>6</v>
      </c>
      <c r="AJ502" s="4">
        <v>11</v>
      </c>
      <c r="AK502" s="4">
        <v>11</v>
      </c>
      <c r="AL502" s="4">
        <v>3</v>
      </c>
      <c r="AM502" s="4">
        <v>3</v>
      </c>
      <c r="AN502" s="4">
        <v>0</v>
      </c>
      <c r="AO502" s="4">
        <v>0</v>
      </c>
      <c r="AP502" s="3" t="s">
        <v>58</v>
      </c>
      <c r="AQ502" s="3" t="s">
        <v>68</v>
      </c>
      <c r="AR502" s="6" t="str">
        <f>HYPERLINK("http://catalog.hathitrust.org/Record/000710503","HathiTrust Record")</f>
        <v>HathiTrust Record</v>
      </c>
      <c r="AS502" s="6" t="str">
        <f>HYPERLINK("https://creighton-primo.hosted.exlibrisgroup.com/primo-explore/search?tab=default_tab&amp;search_scope=EVERYTHING&amp;vid=01CRU&amp;lang=en_US&amp;offset=0&amp;query=any,contains,991001786629702656","Catalog Record")</f>
        <v>Catalog Record</v>
      </c>
      <c r="AT502" s="6" t="str">
        <f>HYPERLINK("http://www.worldcat.org/oclc/2020544","WorldCat Record")</f>
        <v>WorldCat Record</v>
      </c>
      <c r="AU502" s="3" t="s">
        <v>4022</v>
      </c>
      <c r="AV502" s="3" t="s">
        <v>4023</v>
      </c>
      <c r="AW502" s="3" t="s">
        <v>4024</v>
      </c>
      <c r="AX502" s="3" t="s">
        <v>4024</v>
      </c>
      <c r="AY502" s="3" t="s">
        <v>6347</v>
      </c>
      <c r="AZ502" s="3" t="s">
        <v>73</v>
      </c>
      <c r="BC502" s="3" t="s">
        <v>6348</v>
      </c>
      <c r="BD502" s="3" t="s">
        <v>6349</v>
      </c>
    </row>
    <row r="503" spans="1:56" ht="45" customHeight="1" x14ac:dyDescent="0.25">
      <c r="A503" s="8" t="s">
        <v>58</v>
      </c>
      <c r="B503" s="2" t="s">
        <v>4064</v>
      </c>
      <c r="C503" s="2" t="s">
        <v>4065</v>
      </c>
      <c r="D503" s="2" t="s">
        <v>4066</v>
      </c>
      <c r="F503" s="3" t="s">
        <v>58</v>
      </c>
      <c r="G503" s="3" t="s">
        <v>59</v>
      </c>
      <c r="H503" s="3" t="s">
        <v>68</v>
      </c>
      <c r="I503" s="3" t="s">
        <v>58</v>
      </c>
      <c r="J503" s="3" t="s">
        <v>60</v>
      </c>
      <c r="L503" s="2" t="s">
        <v>4067</v>
      </c>
      <c r="M503" s="3" t="s">
        <v>129</v>
      </c>
      <c r="O503" s="3" t="s">
        <v>64</v>
      </c>
      <c r="P503" s="3" t="s">
        <v>997</v>
      </c>
      <c r="R503" s="3" t="s">
        <v>66</v>
      </c>
      <c r="S503" s="4">
        <v>4</v>
      </c>
      <c r="T503" s="4">
        <v>16</v>
      </c>
      <c r="U503" s="5" t="s">
        <v>4069</v>
      </c>
      <c r="V503" s="5" t="s">
        <v>4069</v>
      </c>
      <c r="W503" s="5" t="s">
        <v>6326</v>
      </c>
      <c r="X503" s="5" t="s">
        <v>1154</v>
      </c>
      <c r="Y503" s="4">
        <v>206</v>
      </c>
      <c r="Z503" s="4">
        <v>126</v>
      </c>
      <c r="AA503" s="4">
        <v>128</v>
      </c>
      <c r="AB503" s="4">
        <v>2</v>
      </c>
      <c r="AC503" s="4">
        <v>2</v>
      </c>
      <c r="AD503" s="4">
        <v>3</v>
      </c>
      <c r="AE503" s="4">
        <v>3</v>
      </c>
      <c r="AF503" s="4">
        <v>1</v>
      </c>
      <c r="AG503" s="4">
        <v>1</v>
      </c>
      <c r="AH503" s="4">
        <v>0</v>
      </c>
      <c r="AI503" s="4">
        <v>0</v>
      </c>
      <c r="AJ503" s="4">
        <v>2</v>
      </c>
      <c r="AK503" s="4">
        <v>2</v>
      </c>
      <c r="AL503" s="4">
        <v>0</v>
      </c>
      <c r="AM503" s="4">
        <v>0</v>
      </c>
      <c r="AN503" s="4">
        <v>0</v>
      </c>
      <c r="AO503" s="4">
        <v>0</v>
      </c>
      <c r="AP503" s="3" t="s">
        <v>58</v>
      </c>
      <c r="AQ503" s="3" t="s">
        <v>68</v>
      </c>
      <c r="AR503" s="6" t="str">
        <f>HYPERLINK("http://catalog.hathitrust.org/Record/000737537","HathiTrust Record")</f>
        <v>HathiTrust Record</v>
      </c>
      <c r="AS503" s="6" t="str">
        <f>HYPERLINK("https://creighton-primo.hosted.exlibrisgroup.com/primo-explore/search?tab=default_tab&amp;search_scope=EVERYTHING&amp;vid=01CRU&amp;lang=en_US&amp;offset=0&amp;query=any,contains,991001772699702656","Catalog Record")</f>
        <v>Catalog Record</v>
      </c>
      <c r="AT503" s="6" t="str">
        <f>HYPERLINK("http://www.worldcat.org/oclc/2358084","WorldCat Record")</f>
        <v>WorldCat Record</v>
      </c>
      <c r="AU503" s="3" t="s">
        <v>4070</v>
      </c>
      <c r="AV503" s="3" t="s">
        <v>4071</v>
      </c>
      <c r="AW503" s="3" t="s">
        <v>4072</v>
      </c>
      <c r="AX503" s="3" t="s">
        <v>4072</v>
      </c>
      <c r="AY503" s="3" t="s">
        <v>6350</v>
      </c>
      <c r="AZ503" s="3" t="s">
        <v>73</v>
      </c>
      <c r="BB503" s="3" t="s">
        <v>4074</v>
      </c>
      <c r="BC503" s="3" t="s">
        <v>6351</v>
      </c>
      <c r="BD503" s="3" t="s">
        <v>6352</v>
      </c>
    </row>
    <row r="504" spans="1:56" ht="45" customHeight="1" x14ac:dyDescent="0.25">
      <c r="A504" s="8" t="s">
        <v>58</v>
      </c>
      <c r="B504" s="2" t="s">
        <v>4114</v>
      </c>
      <c r="C504" s="2" t="s">
        <v>4115</v>
      </c>
      <c r="D504" s="2" t="s">
        <v>4116</v>
      </c>
      <c r="F504" s="3" t="s">
        <v>58</v>
      </c>
      <c r="G504" s="3" t="s">
        <v>59</v>
      </c>
      <c r="H504" s="3" t="s">
        <v>68</v>
      </c>
      <c r="I504" s="3" t="s">
        <v>58</v>
      </c>
      <c r="J504" s="3" t="s">
        <v>60</v>
      </c>
      <c r="K504" s="2" t="s">
        <v>4117</v>
      </c>
      <c r="L504" s="2" t="s">
        <v>4118</v>
      </c>
      <c r="M504" s="3" t="s">
        <v>249</v>
      </c>
      <c r="O504" s="3" t="s">
        <v>64</v>
      </c>
      <c r="P504" s="3" t="s">
        <v>147</v>
      </c>
      <c r="R504" s="3" t="s">
        <v>66</v>
      </c>
      <c r="S504" s="4">
        <v>3</v>
      </c>
      <c r="T504" s="4">
        <v>28</v>
      </c>
      <c r="U504" s="5" t="s">
        <v>4069</v>
      </c>
      <c r="V504" s="5" t="s">
        <v>4069</v>
      </c>
      <c r="W504" s="5" t="s">
        <v>6326</v>
      </c>
      <c r="X504" s="5" t="s">
        <v>4120</v>
      </c>
      <c r="Y504" s="4">
        <v>586</v>
      </c>
      <c r="Z504" s="4">
        <v>464</v>
      </c>
      <c r="AA504" s="4">
        <v>466</v>
      </c>
      <c r="AB504" s="4">
        <v>2</v>
      </c>
      <c r="AC504" s="4">
        <v>2</v>
      </c>
      <c r="AD504" s="4">
        <v>14</v>
      </c>
      <c r="AE504" s="4">
        <v>14</v>
      </c>
      <c r="AF504" s="4">
        <v>7</v>
      </c>
      <c r="AG504" s="4">
        <v>7</v>
      </c>
      <c r="AH504" s="4">
        <v>1</v>
      </c>
      <c r="AI504" s="4">
        <v>1</v>
      </c>
      <c r="AJ504" s="4">
        <v>7</v>
      </c>
      <c r="AK504" s="4">
        <v>7</v>
      </c>
      <c r="AL504" s="4">
        <v>1</v>
      </c>
      <c r="AM504" s="4">
        <v>1</v>
      </c>
      <c r="AN504" s="4">
        <v>0</v>
      </c>
      <c r="AO504" s="4">
        <v>0</v>
      </c>
      <c r="AP504" s="3" t="s">
        <v>58</v>
      </c>
      <c r="AQ504" s="3" t="s">
        <v>68</v>
      </c>
      <c r="AR504" s="6" t="str">
        <f>HYPERLINK("http://catalog.hathitrust.org/Record/000687040","HathiTrust Record")</f>
        <v>HathiTrust Record</v>
      </c>
      <c r="AS504" s="6" t="str">
        <f>HYPERLINK("https://creighton-primo.hosted.exlibrisgroup.com/primo-explore/search?tab=default_tab&amp;search_scope=EVERYTHING&amp;vid=01CRU&amp;lang=en_US&amp;offset=0&amp;query=any,contains,991001772779702656","Catalog Record")</f>
        <v>Catalog Record</v>
      </c>
      <c r="AT504" s="6" t="str">
        <f>HYPERLINK("http://www.worldcat.org/oclc/3933172","WorldCat Record")</f>
        <v>WorldCat Record</v>
      </c>
      <c r="AU504" s="3" t="s">
        <v>4121</v>
      </c>
      <c r="AV504" s="3" t="s">
        <v>4122</v>
      </c>
      <c r="AW504" s="3" t="s">
        <v>4123</v>
      </c>
      <c r="AX504" s="3" t="s">
        <v>4123</v>
      </c>
      <c r="AY504" s="3" t="s">
        <v>6353</v>
      </c>
      <c r="AZ504" s="3" t="s">
        <v>73</v>
      </c>
      <c r="BB504" s="3" t="s">
        <v>4125</v>
      </c>
      <c r="BC504" s="3" t="s">
        <v>6354</v>
      </c>
      <c r="BD504" s="3" t="s">
        <v>6355</v>
      </c>
    </row>
    <row r="505" spans="1:56" ht="45" customHeight="1" x14ac:dyDescent="0.25">
      <c r="A505" s="8" t="s">
        <v>58</v>
      </c>
      <c r="B505" s="2" t="s">
        <v>4128</v>
      </c>
      <c r="C505" s="2" t="s">
        <v>4129</v>
      </c>
      <c r="D505" s="2" t="s">
        <v>4130</v>
      </c>
      <c r="F505" s="3" t="s">
        <v>58</v>
      </c>
      <c r="G505" s="3" t="s">
        <v>59</v>
      </c>
      <c r="H505" s="3" t="s">
        <v>68</v>
      </c>
      <c r="I505" s="3" t="s">
        <v>58</v>
      </c>
      <c r="J505" s="3" t="s">
        <v>60</v>
      </c>
      <c r="L505" s="2" t="s">
        <v>4131</v>
      </c>
      <c r="M505" s="3" t="s">
        <v>129</v>
      </c>
      <c r="O505" s="3" t="s">
        <v>64</v>
      </c>
      <c r="P505" s="3" t="s">
        <v>177</v>
      </c>
      <c r="R505" s="3" t="s">
        <v>66</v>
      </c>
      <c r="S505" s="4">
        <v>0</v>
      </c>
      <c r="T505" s="4">
        <v>4</v>
      </c>
      <c r="V505" s="5" t="s">
        <v>4132</v>
      </c>
      <c r="W505" s="5" t="s">
        <v>6326</v>
      </c>
      <c r="X505" s="5" t="s">
        <v>1154</v>
      </c>
      <c r="Y505" s="4">
        <v>528</v>
      </c>
      <c r="Z505" s="4">
        <v>427</v>
      </c>
      <c r="AA505" s="4">
        <v>447</v>
      </c>
      <c r="AB505" s="4">
        <v>5</v>
      </c>
      <c r="AC505" s="4">
        <v>5</v>
      </c>
      <c r="AD505" s="4">
        <v>25</v>
      </c>
      <c r="AE505" s="4">
        <v>26</v>
      </c>
      <c r="AF505" s="4">
        <v>11</v>
      </c>
      <c r="AG505" s="4">
        <v>12</v>
      </c>
      <c r="AH505" s="4">
        <v>5</v>
      </c>
      <c r="AI505" s="4">
        <v>5</v>
      </c>
      <c r="AJ505" s="4">
        <v>17</v>
      </c>
      <c r="AK505" s="4">
        <v>17</v>
      </c>
      <c r="AL505" s="4">
        <v>2</v>
      </c>
      <c r="AM505" s="4">
        <v>2</v>
      </c>
      <c r="AN505" s="4">
        <v>0</v>
      </c>
      <c r="AO505" s="4">
        <v>0</v>
      </c>
      <c r="AP505" s="3" t="s">
        <v>58</v>
      </c>
      <c r="AQ505" s="3" t="s">
        <v>68</v>
      </c>
      <c r="AR505" s="6" t="str">
        <f>HYPERLINK("http://catalog.hathitrust.org/Record/000687150","HathiTrust Record")</f>
        <v>HathiTrust Record</v>
      </c>
      <c r="AS505" s="6" t="str">
        <f>HYPERLINK("https://creighton-primo.hosted.exlibrisgroup.com/primo-explore/search?tab=default_tab&amp;search_scope=EVERYTHING&amp;vid=01CRU&amp;lang=en_US&amp;offset=0&amp;query=any,contains,991001772289702656","Catalog Record")</f>
        <v>Catalog Record</v>
      </c>
      <c r="AT505" s="6" t="str">
        <f>HYPERLINK("http://www.worldcat.org/oclc/1976831","WorldCat Record")</f>
        <v>WorldCat Record</v>
      </c>
      <c r="AU505" s="3" t="s">
        <v>4133</v>
      </c>
      <c r="AV505" s="3" t="s">
        <v>4134</v>
      </c>
      <c r="AW505" s="3" t="s">
        <v>4135</v>
      </c>
      <c r="AX505" s="3" t="s">
        <v>4135</v>
      </c>
      <c r="AY505" s="3" t="s">
        <v>6356</v>
      </c>
      <c r="AZ505" s="3" t="s">
        <v>73</v>
      </c>
      <c r="BB505" s="3" t="s">
        <v>4137</v>
      </c>
      <c r="BC505" s="3" t="s">
        <v>6357</v>
      </c>
      <c r="BD505" s="3" t="s">
        <v>6358</v>
      </c>
    </row>
    <row r="506" spans="1:56" ht="45" customHeight="1" x14ac:dyDescent="0.25">
      <c r="A506" s="8" t="s">
        <v>58</v>
      </c>
      <c r="B506" s="2" t="s">
        <v>4140</v>
      </c>
      <c r="C506" s="2" t="s">
        <v>4141</v>
      </c>
      <c r="D506" s="2" t="s">
        <v>4142</v>
      </c>
      <c r="F506" s="3" t="s">
        <v>58</v>
      </c>
      <c r="G506" s="3" t="s">
        <v>59</v>
      </c>
      <c r="H506" s="3" t="s">
        <v>68</v>
      </c>
      <c r="I506" s="3" t="s">
        <v>58</v>
      </c>
      <c r="J506" s="3" t="s">
        <v>60</v>
      </c>
      <c r="L506" s="2" t="s">
        <v>4143</v>
      </c>
      <c r="M506" s="3" t="s">
        <v>494</v>
      </c>
      <c r="O506" s="3" t="s">
        <v>64</v>
      </c>
      <c r="P506" s="3" t="s">
        <v>177</v>
      </c>
      <c r="Q506" s="2" t="s">
        <v>4144</v>
      </c>
      <c r="R506" s="3" t="s">
        <v>66</v>
      </c>
      <c r="S506" s="4">
        <v>8</v>
      </c>
      <c r="T506" s="4">
        <v>28</v>
      </c>
      <c r="U506" s="5" t="s">
        <v>6359</v>
      </c>
      <c r="V506" s="5" t="s">
        <v>4145</v>
      </c>
      <c r="W506" s="5" t="s">
        <v>6326</v>
      </c>
      <c r="X506" s="5" t="s">
        <v>2002</v>
      </c>
      <c r="Y506" s="4">
        <v>427</v>
      </c>
      <c r="Z506" s="4">
        <v>379</v>
      </c>
      <c r="AA506" s="4">
        <v>380</v>
      </c>
      <c r="AB506" s="4">
        <v>4</v>
      </c>
      <c r="AC506" s="4">
        <v>4</v>
      </c>
      <c r="AD506" s="4">
        <v>14</v>
      </c>
      <c r="AE506" s="4">
        <v>14</v>
      </c>
      <c r="AF506" s="4">
        <v>4</v>
      </c>
      <c r="AG506" s="4">
        <v>4</v>
      </c>
      <c r="AH506" s="4">
        <v>2</v>
      </c>
      <c r="AI506" s="4">
        <v>2</v>
      </c>
      <c r="AJ506" s="4">
        <v>8</v>
      </c>
      <c r="AK506" s="4">
        <v>8</v>
      </c>
      <c r="AL506" s="4">
        <v>2</v>
      </c>
      <c r="AM506" s="4">
        <v>2</v>
      </c>
      <c r="AN506" s="4">
        <v>0</v>
      </c>
      <c r="AO506" s="4">
        <v>0</v>
      </c>
      <c r="AP506" s="3" t="s">
        <v>58</v>
      </c>
      <c r="AQ506" s="3" t="s">
        <v>58</v>
      </c>
      <c r="AS506" s="6" t="str">
        <f>HYPERLINK("https://creighton-primo.hosted.exlibrisgroup.com/primo-explore/search?tab=default_tab&amp;search_scope=EVERYTHING&amp;vid=01CRU&amp;lang=en_US&amp;offset=0&amp;query=any,contains,991001772979702656","Catalog Record")</f>
        <v>Catalog Record</v>
      </c>
      <c r="AT506" s="6" t="str">
        <f>HYPERLINK("http://www.worldcat.org/oclc/11726472","WorldCat Record")</f>
        <v>WorldCat Record</v>
      </c>
      <c r="AU506" s="3" t="s">
        <v>4146</v>
      </c>
      <c r="AV506" s="3" t="s">
        <v>4147</v>
      </c>
      <c r="AW506" s="3" t="s">
        <v>4148</v>
      </c>
      <c r="AX506" s="3" t="s">
        <v>4148</v>
      </c>
      <c r="AY506" s="3" t="s">
        <v>6360</v>
      </c>
      <c r="AZ506" s="3" t="s">
        <v>73</v>
      </c>
      <c r="BB506" s="3" t="s">
        <v>4150</v>
      </c>
      <c r="BC506" s="3" t="s">
        <v>6361</v>
      </c>
      <c r="BD506" s="3" t="s">
        <v>6362</v>
      </c>
    </row>
    <row r="507" spans="1:56" ht="45" customHeight="1" x14ac:dyDescent="0.25">
      <c r="A507" s="8" t="s">
        <v>58</v>
      </c>
      <c r="B507" s="2" t="s">
        <v>4333</v>
      </c>
      <c r="C507" s="2" t="s">
        <v>4334</v>
      </c>
      <c r="D507" s="2" t="s">
        <v>4335</v>
      </c>
      <c r="F507" s="3" t="s">
        <v>58</v>
      </c>
      <c r="G507" s="3" t="s">
        <v>59</v>
      </c>
      <c r="H507" s="3" t="s">
        <v>68</v>
      </c>
      <c r="I507" s="3" t="s">
        <v>58</v>
      </c>
      <c r="J507" s="3" t="s">
        <v>60</v>
      </c>
      <c r="K507" s="2" t="s">
        <v>4336</v>
      </c>
      <c r="L507" s="2" t="s">
        <v>4337</v>
      </c>
      <c r="M507" s="3" t="s">
        <v>480</v>
      </c>
      <c r="O507" s="3" t="s">
        <v>64</v>
      </c>
      <c r="P507" s="3" t="s">
        <v>4338</v>
      </c>
      <c r="R507" s="3" t="s">
        <v>66</v>
      </c>
      <c r="S507" s="4">
        <v>11</v>
      </c>
      <c r="T507" s="4">
        <v>18</v>
      </c>
      <c r="U507" s="5" t="s">
        <v>5834</v>
      </c>
      <c r="V507" s="5" t="s">
        <v>4339</v>
      </c>
      <c r="W507" s="5" t="s">
        <v>6363</v>
      </c>
      <c r="X507" s="5" t="s">
        <v>2306</v>
      </c>
      <c r="Y507" s="4">
        <v>91</v>
      </c>
      <c r="Z507" s="4">
        <v>74</v>
      </c>
      <c r="AA507" s="4">
        <v>109</v>
      </c>
      <c r="AB507" s="4">
        <v>4</v>
      </c>
      <c r="AC507" s="4">
        <v>4</v>
      </c>
      <c r="AD507" s="4">
        <v>4</v>
      </c>
      <c r="AE507" s="4">
        <v>6</v>
      </c>
      <c r="AF507" s="4">
        <v>1</v>
      </c>
      <c r="AG507" s="4">
        <v>3</v>
      </c>
      <c r="AH507" s="4">
        <v>0</v>
      </c>
      <c r="AI507" s="4">
        <v>0</v>
      </c>
      <c r="AJ507" s="4">
        <v>1</v>
      </c>
      <c r="AK507" s="4">
        <v>2</v>
      </c>
      <c r="AL507" s="4">
        <v>2</v>
      </c>
      <c r="AM507" s="4">
        <v>2</v>
      </c>
      <c r="AN507" s="4">
        <v>0</v>
      </c>
      <c r="AO507" s="4">
        <v>0</v>
      </c>
      <c r="AP507" s="3" t="s">
        <v>58</v>
      </c>
      <c r="AQ507" s="3" t="s">
        <v>58</v>
      </c>
      <c r="AS507" s="6" t="str">
        <f>HYPERLINK("https://creighton-primo.hosted.exlibrisgroup.com/primo-explore/search?tab=default_tab&amp;search_scope=EVERYTHING&amp;vid=01CRU&amp;lang=en_US&amp;offset=0&amp;query=any,contains,991001797869702656","Catalog Record")</f>
        <v>Catalog Record</v>
      </c>
      <c r="AT507" s="6" t="str">
        <f>HYPERLINK("http://www.worldcat.org/oclc/8643722","WorldCat Record")</f>
        <v>WorldCat Record</v>
      </c>
      <c r="AU507" s="3" t="s">
        <v>4340</v>
      </c>
      <c r="AV507" s="3" t="s">
        <v>4341</v>
      </c>
      <c r="AW507" s="3" t="s">
        <v>4342</v>
      </c>
      <c r="AX507" s="3" t="s">
        <v>4342</v>
      </c>
      <c r="AY507" s="3" t="s">
        <v>6364</v>
      </c>
      <c r="AZ507" s="3" t="s">
        <v>73</v>
      </c>
      <c r="BB507" s="3" t="s">
        <v>4344</v>
      </c>
      <c r="BC507" s="3" t="s">
        <v>6365</v>
      </c>
      <c r="BD507" s="3" t="s">
        <v>6366</v>
      </c>
    </row>
    <row r="508" spans="1:56" ht="45" customHeight="1" x14ac:dyDescent="0.25">
      <c r="A508" s="8" t="s">
        <v>58</v>
      </c>
      <c r="B508" s="2" t="s">
        <v>4713</v>
      </c>
      <c r="C508" s="2" t="s">
        <v>4714</v>
      </c>
      <c r="D508" s="2" t="s">
        <v>4715</v>
      </c>
      <c r="F508" s="3" t="s">
        <v>58</v>
      </c>
      <c r="G508" s="3" t="s">
        <v>59</v>
      </c>
      <c r="H508" s="3" t="s">
        <v>68</v>
      </c>
      <c r="I508" s="3" t="s">
        <v>58</v>
      </c>
      <c r="J508" s="3" t="s">
        <v>60</v>
      </c>
      <c r="K508" s="2" t="s">
        <v>4716</v>
      </c>
      <c r="L508" s="2" t="s">
        <v>4717</v>
      </c>
      <c r="M508" s="3" t="s">
        <v>407</v>
      </c>
      <c r="O508" s="3" t="s">
        <v>64</v>
      </c>
      <c r="P508" s="3" t="s">
        <v>177</v>
      </c>
      <c r="R508" s="3" t="s">
        <v>66</v>
      </c>
      <c r="S508" s="4">
        <v>7</v>
      </c>
      <c r="T508" s="4">
        <v>33</v>
      </c>
      <c r="U508" s="5" t="s">
        <v>6367</v>
      </c>
      <c r="V508" s="5" t="s">
        <v>4705</v>
      </c>
      <c r="W508" s="5" t="s">
        <v>6346</v>
      </c>
      <c r="X508" s="5" t="s">
        <v>4692</v>
      </c>
      <c r="Y508" s="4">
        <v>429</v>
      </c>
      <c r="Z508" s="4">
        <v>340</v>
      </c>
      <c r="AA508" s="4">
        <v>443</v>
      </c>
      <c r="AB508" s="4">
        <v>6</v>
      </c>
      <c r="AC508" s="4">
        <v>6</v>
      </c>
      <c r="AD508" s="4">
        <v>20</v>
      </c>
      <c r="AE508" s="4">
        <v>21</v>
      </c>
      <c r="AF508" s="4">
        <v>6</v>
      </c>
      <c r="AG508" s="4">
        <v>6</v>
      </c>
      <c r="AH508" s="4">
        <v>5</v>
      </c>
      <c r="AI508" s="4">
        <v>5</v>
      </c>
      <c r="AJ508" s="4">
        <v>11</v>
      </c>
      <c r="AK508" s="4">
        <v>12</v>
      </c>
      <c r="AL508" s="4">
        <v>4</v>
      </c>
      <c r="AM508" s="4">
        <v>4</v>
      </c>
      <c r="AN508" s="4">
        <v>0</v>
      </c>
      <c r="AO508" s="4">
        <v>0</v>
      </c>
      <c r="AP508" s="3" t="s">
        <v>68</v>
      </c>
      <c r="AQ508" s="3" t="s">
        <v>58</v>
      </c>
      <c r="AR508" s="6" t="str">
        <f>HYPERLINK("http://catalog.hathitrust.org/Record/100716786","HathiTrust Record")</f>
        <v>HathiTrust Record</v>
      </c>
      <c r="AS508" s="6" t="str">
        <f>HYPERLINK("https://creighton-primo.hosted.exlibrisgroup.com/primo-explore/search?tab=default_tab&amp;search_scope=EVERYTHING&amp;vid=01CRU&amp;lang=en_US&amp;offset=0&amp;query=any,contains,991001781729702656","Catalog Record")</f>
        <v>Catalog Record</v>
      </c>
      <c r="AT508" s="6" t="str">
        <f>HYPERLINK("http://www.worldcat.org/oclc/3003304","WorldCat Record")</f>
        <v>WorldCat Record</v>
      </c>
      <c r="AU508" s="3" t="s">
        <v>4718</v>
      </c>
      <c r="AV508" s="3" t="s">
        <v>4719</v>
      </c>
      <c r="AW508" s="3" t="s">
        <v>4720</v>
      </c>
      <c r="AX508" s="3" t="s">
        <v>4720</v>
      </c>
      <c r="AY508" s="3" t="s">
        <v>6368</v>
      </c>
      <c r="AZ508" s="3" t="s">
        <v>73</v>
      </c>
      <c r="BB508" s="3" t="s">
        <v>4722</v>
      </c>
      <c r="BC508" s="3" t="s">
        <v>6369</v>
      </c>
      <c r="BD508" s="3" t="s">
        <v>6370</v>
      </c>
    </row>
    <row r="509" spans="1:56" ht="45" customHeight="1" x14ac:dyDescent="0.25">
      <c r="A509" s="8" t="s">
        <v>58</v>
      </c>
      <c r="B509" s="2" t="s">
        <v>4959</v>
      </c>
      <c r="C509" s="2" t="s">
        <v>4960</v>
      </c>
      <c r="D509" s="2" t="s">
        <v>4961</v>
      </c>
      <c r="F509" s="3" t="s">
        <v>58</v>
      </c>
      <c r="G509" s="3" t="s">
        <v>59</v>
      </c>
      <c r="H509" s="3" t="s">
        <v>68</v>
      </c>
      <c r="I509" s="3" t="s">
        <v>58</v>
      </c>
      <c r="J509" s="3" t="s">
        <v>60</v>
      </c>
      <c r="K509" s="2" t="s">
        <v>4962</v>
      </c>
      <c r="L509" s="2" t="s">
        <v>4963</v>
      </c>
      <c r="M509" s="3" t="s">
        <v>234</v>
      </c>
      <c r="O509" s="3" t="s">
        <v>64</v>
      </c>
      <c r="P509" s="3" t="s">
        <v>177</v>
      </c>
      <c r="Q509" s="2" t="s">
        <v>4964</v>
      </c>
      <c r="R509" s="3" t="s">
        <v>66</v>
      </c>
      <c r="S509" s="4">
        <v>4</v>
      </c>
      <c r="T509" s="4">
        <v>14</v>
      </c>
      <c r="U509" s="5" t="s">
        <v>6371</v>
      </c>
      <c r="V509" s="5" t="s">
        <v>4965</v>
      </c>
      <c r="W509" s="5" t="s">
        <v>6372</v>
      </c>
      <c r="X509" s="5" t="s">
        <v>4966</v>
      </c>
      <c r="Y509" s="4">
        <v>613</v>
      </c>
      <c r="Z509" s="4">
        <v>516</v>
      </c>
      <c r="AA509" s="4">
        <v>535</v>
      </c>
      <c r="AB509" s="4">
        <v>6</v>
      </c>
      <c r="AC509" s="4">
        <v>6</v>
      </c>
      <c r="AD509" s="4">
        <v>16</v>
      </c>
      <c r="AE509" s="4">
        <v>18</v>
      </c>
      <c r="AF509" s="4">
        <v>8</v>
      </c>
      <c r="AG509" s="4">
        <v>9</v>
      </c>
      <c r="AH509" s="4">
        <v>3</v>
      </c>
      <c r="AI509" s="4">
        <v>4</v>
      </c>
      <c r="AJ509" s="4">
        <v>8</v>
      </c>
      <c r="AK509" s="4">
        <v>8</v>
      </c>
      <c r="AL509" s="4">
        <v>2</v>
      </c>
      <c r="AM509" s="4">
        <v>2</v>
      </c>
      <c r="AN509" s="4">
        <v>0</v>
      </c>
      <c r="AO509" s="4">
        <v>0</v>
      </c>
      <c r="AP509" s="3" t="s">
        <v>58</v>
      </c>
      <c r="AQ509" s="3" t="s">
        <v>68</v>
      </c>
      <c r="AR509" s="6" t="str">
        <f>HYPERLINK("http://catalog.hathitrust.org/Record/000040313","HathiTrust Record")</f>
        <v>HathiTrust Record</v>
      </c>
      <c r="AS509" s="6" t="str">
        <f>HYPERLINK("https://creighton-primo.hosted.exlibrisgroup.com/primo-explore/search?tab=default_tab&amp;search_scope=EVERYTHING&amp;vid=01CRU&amp;lang=en_US&amp;offset=0&amp;query=any,contains,991001772319702656","Catalog Record")</f>
        <v>Catalog Record</v>
      </c>
      <c r="AT509" s="6" t="str">
        <f>HYPERLINK("http://www.worldcat.org/oclc/1601870","WorldCat Record")</f>
        <v>WorldCat Record</v>
      </c>
      <c r="AU509" s="3" t="s">
        <v>4967</v>
      </c>
      <c r="AV509" s="3" t="s">
        <v>4968</v>
      </c>
      <c r="AW509" s="3" t="s">
        <v>4969</v>
      </c>
      <c r="AX509" s="3" t="s">
        <v>4969</v>
      </c>
      <c r="AY509" s="3" t="s">
        <v>6373</v>
      </c>
      <c r="AZ509" s="3" t="s">
        <v>73</v>
      </c>
      <c r="BB509" s="3" t="s">
        <v>4971</v>
      </c>
      <c r="BC509" s="3" t="s">
        <v>6374</v>
      </c>
      <c r="BD509" s="3" t="s">
        <v>6375</v>
      </c>
    </row>
    <row r="510" spans="1:56" ht="45" customHeight="1" x14ac:dyDescent="0.25">
      <c r="A510" s="8" t="s">
        <v>58</v>
      </c>
      <c r="B510" s="2" t="s">
        <v>5011</v>
      </c>
      <c r="C510" s="2" t="s">
        <v>5012</v>
      </c>
      <c r="D510" s="2" t="s">
        <v>5013</v>
      </c>
      <c r="F510" s="3" t="s">
        <v>58</v>
      </c>
      <c r="G510" s="3" t="s">
        <v>59</v>
      </c>
      <c r="H510" s="3" t="s">
        <v>68</v>
      </c>
      <c r="I510" s="3" t="s">
        <v>58</v>
      </c>
      <c r="J510" s="3" t="s">
        <v>60</v>
      </c>
      <c r="L510" s="2" t="s">
        <v>5014</v>
      </c>
      <c r="M510" s="3" t="s">
        <v>681</v>
      </c>
      <c r="N510" s="2" t="s">
        <v>567</v>
      </c>
      <c r="O510" s="3" t="s">
        <v>64</v>
      </c>
      <c r="P510" s="3" t="s">
        <v>4508</v>
      </c>
      <c r="R510" s="3" t="s">
        <v>66</v>
      </c>
      <c r="S510" s="4">
        <v>0</v>
      </c>
      <c r="T510" s="4">
        <v>4</v>
      </c>
      <c r="V510" s="5" t="s">
        <v>5015</v>
      </c>
      <c r="W510" s="5" t="s">
        <v>6372</v>
      </c>
      <c r="X510" s="5" t="s">
        <v>2995</v>
      </c>
      <c r="Y510" s="4">
        <v>261</v>
      </c>
      <c r="Z510" s="4">
        <v>258</v>
      </c>
      <c r="AA510" s="4">
        <v>272</v>
      </c>
      <c r="AB510" s="4">
        <v>4</v>
      </c>
      <c r="AC510" s="4">
        <v>4</v>
      </c>
      <c r="AD510" s="4">
        <v>6</v>
      </c>
      <c r="AE510" s="4">
        <v>6</v>
      </c>
      <c r="AF510" s="4">
        <v>2</v>
      </c>
      <c r="AG510" s="4">
        <v>2</v>
      </c>
      <c r="AH510" s="4">
        <v>0</v>
      </c>
      <c r="AI510" s="4">
        <v>0</v>
      </c>
      <c r="AJ510" s="4">
        <v>2</v>
      </c>
      <c r="AK510" s="4">
        <v>2</v>
      </c>
      <c r="AL510" s="4">
        <v>2</v>
      </c>
      <c r="AM510" s="4">
        <v>2</v>
      </c>
      <c r="AN510" s="4">
        <v>0</v>
      </c>
      <c r="AO510" s="4">
        <v>0</v>
      </c>
      <c r="AP510" s="3" t="s">
        <v>58</v>
      </c>
      <c r="AQ510" s="3" t="s">
        <v>58</v>
      </c>
      <c r="AS510" s="6" t="str">
        <f>HYPERLINK("https://creighton-primo.hosted.exlibrisgroup.com/primo-explore/search?tab=default_tab&amp;search_scope=EVERYTHING&amp;vid=01CRU&amp;lang=en_US&amp;offset=0&amp;query=any,contains,991001761129702656","Catalog Record")</f>
        <v>Catalog Record</v>
      </c>
      <c r="AT510" s="6" t="str">
        <f>HYPERLINK("http://www.worldcat.org/oclc/9954542","WorldCat Record")</f>
        <v>WorldCat Record</v>
      </c>
      <c r="AU510" s="3" t="s">
        <v>5016</v>
      </c>
      <c r="AV510" s="3" t="s">
        <v>5017</v>
      </c>
      <c r="AW510" s="3" t="s">
        <v>5018</v>
      </c>
      <c r="AX510" s="3" t="s">
        <v>5018</v>
      </c>
      <c r="AY510" s="3" t="s">
        <v>6376</v>
      </c>
      <c r="AZ510" s="3" t="s">
        <v>73</v>
      </c>
      <c r="BC510" s="3" t="s">
        <v>6377</v>
      </c>
      <c r="BD510" s="3" t="s">
        <v>6378</v>
      </c>
    </row>
    <row r="511" spans="1:56" ht="45" customHeight="1" x14ac:dyDescent="0.25">
      <c r="A511" s="8" t="s">
        <v>58</v>
      </c>
      <c r="B511" s="2" t="s">
        <v>5312</v>
      </c>
      <c r="C511" s="2" t="s">
        <v>5313</v>
      </c>
      <c r="D511" s="2" t="s">
        <v>5314</v>
      </c>
      <c r="F511" s="3" t="s">
        <v>58</v>
      </c>
      <c r="G511" s="3" t="s">
        <v>59</v>
      </c>
      <c r="H511" s="3" t="s">
        <v>68</v>
      </c>
      <c r="I511" s="3" t="s">
        <v>58</v>
      </c>
      <c r="J511" s="3" t="s">
        <v>60</v>
      </c>
      <c r="K511" s="2" t="s">
        <v>5315</v>
      </c>
      <c r="L511" s="2" t="s">
        <v>5098</v>
      </c>
      <c r="M511" s="3" t="s">
        <v>129</v>
      </c>
      <c r="O511" s="3" t="s">
        <v>64</v>
      </c>
      <c r="P511" s="3" t="s">
        <v>191</v>
      </c>
      <c r="R511" s="3" t="s">
        <v>66</v>
      </c>
      <c r="S511" s="4">
        <v>15</v>
      </c>
      <c r="T511" s="4">
        <v>25</v>
      </c>
      <c r="U511" s="5" t="s">
        <v>5316</v>
      </c>
      <c r="V511" s="5" t="s">
        <v>5316</v>
      </c>
      <c r="W511" s="5" t="s">
        <v>6196</v>
      </c>
      <c r="X511" s="5" t="s">
        <v>3575</v>
      </c>
      <c r="Y511" s="4">
        <v>265</v>
      </c>
      <c r="Z511" s="4">
        <v>211</v>
      </c>
      <c r="AA511" s="4">
        <v>213</v>
      </c>
      <c r="AB511" s="4">
        <v>3</v>
      </c>
      <c r="AC511" s="4">
        <v>3</v>
      </c>
      <c r="AD511" s="4">
        <v>7</v>
      </c>
      <c r="AE511" s="4">
        <v>7</v>
      </c>
      <c r="AF511" s="4">
        <v>4</v>
      </c>
      <c r="AG511" s="4">
        <v>4</v>
      </c>
      <c r="AH511" s="4">
        <v>1</v>
      </c>
      <c r="AI511" s="4">
        <v>1</v>
      </c>
      <c r="AJ511" s="4">
        <v>4</v>
      </c>
      <c r="AK511" s="4">
        <v>4</v>
      </c>
      <c r="AL511" s="4">
        <v>1</v>
      </c>
      <c r="AM511" s="4">
        <v>1</v>
      </c>
      <c r="AN511" s="4">
        <v>0</v>
      </c>
      <c r="AO511" s="4">
        <v>0</v>
      </c>
      <c r="AP511" s="3" t="s">
        <v>58</v>
      </c>
      <c r="AQ511" s="3" t="s">
        <v>68</v>
      </c>
      <c r="AR511" s="6" t="str">
        <f>HYPERLINK("http://catalog.hathitrust.org/Record/000723246","HathiTrust Record")</f>
        <v>HathiTrust Record</v>
      </c>
      <c r="AS511" s="6" t="str">
        <f>HYPERLINK("https://creighton-primo.hosted.exlibrisgroup.com/primo-explore/search?tab=default_tab&amp;search_scope=EVERYTHING&amp;vid=01CRU&amp;lang=en_US&amp;offset=0&amp;query=any,contains,991001785239702656","Catalog Record")</f>
        <v>Catalog Record</v>
      </c>
      <c r="AT511" s="6" t="str">
        <f>HYPERLINK("http://www.worldcat.org/oclc/2089720","WorldCat Record")</f>
        <v>WorldCat Record</v>
      </c>
      <c r="AU511" s="3" t="s">
        <v>5317</v>
      </c>
      <c r="AV511" s="3" t="s">
        <v>5318</v>
      </c>
      <c r="AW511" s="3" t="s">
        <v>5319</v>
      </c>
      <c r="AX511" s="3" t="s">
        <v>5319</v>
      </c>
      <c r="AY511" s="3" t="s">
        <v>6379</v>
      </c>
      <c r="AZ511" s="3" t="s">
        <v>73</v>
      </c>
      <c r="BB511" s="3" t="s">
        <v>5321</v>
      </c>
      <c r="BC511" s="3" t="s">
        <v>6380</v>
      </c>
      <c r="BD511" s="3" t="s">
        <v>6381</v>
      </c>
    </row>
    <row r="512" spans="1:56" ht="45" customHeight="1" x14ac:dyDescent="0.25">
      <c r="A512" s="8" t="s">
        <v>58</v>
      </c>
      <c r="B512" s="2" t="s">
        <v>5739</v>
      </c>
      <c r="C512" s="2" t="s">
        <v>5740</v>
      </c>
      <c r="D512" s="2" t="s">
        <v>5741</v>
      </c>
      <c r="F512" s="3" t="s">
        <v>58</v>
      </c>
      <c r="G512" s="3" t="s">
        <v>59</v>
      </c>
      <c r="H512" s="3" t="s">
        <v>68</v>
      </c>
      <c r="I512" s="3" t="s">
        <v>58</v>
      </c>
      <c r="J512" s="3" t="s">
        <v>60</v>
      </c>
      <c r="L512" s="2" t="s">
        <v>5742</v>
      </c>
      <c r="M512" s="3" t="s">
        <v>378</v>
      </c>
      <c r="O512" s="3" t="s">
        <v>64</v>
      </c>
      <c r="P512" s="3" t="s">
        <v>422</v>
      </c>
      <c r="R512" s="3" t="s">
        <v>66</v>
      </c>
      <c r="S512" s="4">
        <v>5</v>
      </c>
      <c r="T512" s="4">
        <v>21</v>
      </c>
      <c r="U512" s="5" t="s">
        <v>2538</v>
      </c>
      <c r="V512" s="5" t="s">
        <v>5743</v>
      </c>
      <c r="W512" s="5" t="s">
        <v>6382</v>
      </c>
      <c r="X512" s="5" t="s">
        <v>1913</v>
      </c>
      <c r="Y512" s="4">
        <v>314</v>
      </c>
      <c r="Z512" s="4">
        <v>248</v>
      </c>
      <c r="AA512" s="4">
        <v>255</v>
      </c>
      <c r="AB512" s="4">
        <v>3</v>
      </c>
      <c r="AC512" s="4">
        <v>3</v>
      </c>
      <c r="AD512" s="4">
        <v>10</v>
      </c>
      <c r="AE512" s="4">
        <v>10</v>
      </c>
      <c r="AF512" s="4">
        <v>3</v>
      </c>
      <c r="AG512" s="4">
        <v>3</v>
      </c>
      <c r="AH512" s="4">
        <v>3</v>
      </c>
      <c r="AI512" s="4">
        <v>3</v>
      </c>
      <c r="AJ512" s="4">
        <v>8</v>
      </c>
      <c r="AK512" s="4">
        <v>8</v>
      </c>
      <c r="AL512" s="4">
        <v>1</v>
      </c>
      <c r="AM512" s="4">
        <v>1</v>
      </c>
      <c r="AN512" s="4">
        <v>0</v>
      </c>
      <c r="AO512" s="4">
        <v>0</v>
      </c>
      <c r="AP512" s="3" t="s">
        <v>58</v>
      </c>
      <c r="AQ512" s="3" t="s">
        <v>68</v>
      </c>
      <c r="AR512" s="6" t="str">
        <f>HYPERLINK("http://catalog.hathitrust.org/Record/000780452","HathiTrust Record")</f>
        <v>HathiTrust Record</v>
      </c>
      <c r="AS512" s="6" t="str">
        <f>HYPERLINK("https://creighton-primo.hosted.exlibrisgroup.com/primo-explore/search?tab=default_tab&amp;search_scope=EVERYTHING&amp;vid=01CRU&amp;lang=en_US&amp;offset=0&amp;query=any,contains,991001767299702656","Catalog Record")</f>
        <v>Catalog Record</v>
      </c>
      <c r="AT512" s="6" t="str">
        <f>HYPERLINK("http://www.worldcat.org/oclc/10162928","WorldCat Record")</f>
        <v>WorldCat Record</v>
      </c>
      <c r="AU512" s="3" t="s">
        <v>5744</v>
      </c>
      <c r="AV512" s="3" t="s">
        <v>5745</v>
      </c>
      <c r="AW512" s="3" t="s">
        <v>5746</v>
      </c>
      <c r="AX512" s="3" t="s">
        <v>5746</v>
      </c>
      <c r="AY512" s="3" t="s">
        <v>6383</v>
      </c>
      <c r="AZ512" s="3" t="s">
        <v>73</v>
      </c>
      <c r="BB512" s="3" t="s">
        <v>5748</v>
      </c>
      <c r="BC512" s="3" t="s">
        <v>6384</v>
      </c>
      <c r="BD512" s="3" t="s">
        <v>6385</v>
      </c>
    </row>
    <row r="513" spans="1:56" ht="45" customHeight="1" x14ac:dyDescent="0.25">
      <c r="A513" s="8" t="s">
        <v>58</v>
      </c>
      <c r="B513" s="2" t="s">
        <v>6386</v>
      </c>
      <c r="C513" s="2" t="s">
        <v>6387</v>
      </c>
      <c r="D513" s="2" t="s">
        <v>6388</v>
      </c>
      <c r="F513" s="3" t="s">
        <v>58</v>
      </c>
      <c r="G513" s="3" t="s">
        <v>59</v>
      </c>
      <c r="H513" s="3" t="s">
        <v>68</v>
      </c>
      <c r="I513" s="3" t="s">
        <v>58</v>
      </c>
      <c r="J513" s="3" t="s">
        <v>60</v>
      </c>
      <c r="L513" s="2" t="s">
        <v>6389</v>
      </c>
      <c r="M513" s="3" t="s">
        <v>5164</v>
      </c>
      <c r="N513" s="2" t="s">
        <v>63</v>
      </c>
      <c r="O513" s="3" t="s">
        <v>64</v>
      </c>
      <c r="P513" s="3" t="s">
        <v>147</v>
      </c>
      <c r="Q513" s="2" t="s">
        <v>6390</v>
      </c>
      <c r="R513" s="3" t="s">
        <v>66</v>
      </c>
      <c r="S513" s="4">
        <v>0</v>
      </c>
      <c r="T513" s="4">
        <v>2</v>
      </c>
      <c r="U513" s="5" t="s">
        <v>6391</v>
      </c>
      <c r="V513" s="5" t="s">
        <v>6391</v>
      </c>
      <c r="W513" s="5" t="s">
        <v>6306</v>
      </c>
      <c r="X513" s="5" t="s">
        <v>6306</v>
      </c>
      <c r="Y513" s="4">
        <v>376</v>
      </c>
      <c r="Z513" s="4">
        <v>308</v>
      </c>
      <c r="AA513" s="4">
        <v>385</v>
      </c>
      <c r="AB513" s="4">
        <v>4</v>
      </c>
      <c r="AC513" s="4">
        <v>5</v>
      </c>
      <c r="AD513" s="4">
        <v>15</v>
      </c>
      <c r="AE513" s="4">
        <v>19</v>
      </c>
      <c r="AF513" s="4">
        <v>6</v>
      </c>
      <c r="AG513" s="4">
        <v>7</v>
      </c>
      <c r="AH513" s="4">
        <v>2</v>
      </c>
      <c r="AI513" s="4">
        <v>2</v>
      </c>
      <c r="AJ513" s="4">
        <v>7</v>
      </c>
      <c r="AK513" s="4">
        <v>9</v>
      </c>
      <c r="AL513" s="4">
        <v>2</v>
      </c>
      <c r="AM513" s="4">
        <v>3</v>
      </c>
      <c r="AN513" s="4">
        <v>0</v>
      </c>
      <c r="AO513" s="4">
        <v>0</v>
      </c>
      <c r="AP513" s="3" t="s">
        <v>58</v>
      </c>
      <c r="AQ513" s="3" t="s">
        <v>58</v>
      </c>
      <c r="AS513" s="6" t="str">
        <f>HYPERLINK("https://creighton-primo.hosted.exlibrisgroup.com/primo-explore/search?tab=default_tab&amp;search_scope=EVERYTHING&amp;vid=01CRU&amp;lang=en_US&amp;offset=0&amp;query=any,contains,991001726589702656","Catalog Record")</f>
        <v>Catalog Record</v>
      </c>
      <c r="AT513" s="6" t="str">
        <f>HYPERLINK("http://www.worldcat.org/oclc/52806424","WorldCat Record")</f>
        <v>WorldCat Record</v>
      </c>
      <c r="AU513" s="3" t="s">
        <v>6392</v>
      </c>
      <c r="AV513" s="3" t="s">
        <v>6393</v>
      </c>
      <c r="AW513" s="3" t="s">
        <v>6394</v>
      </c>
      <c r="AX513" s="3" t="s">
        <v>6394</v>
      </c>
      <c r="AY513" s="3" t="s">
        <v>6395</v>
      </c>
      <c r="AZ513" s="3" t="s">
        <v>73</v>
      </c>
      <c r="BB513" s="3" t="s">
        <v>6396</v>
      </c>
      <c r="BC513" s="3" t="s">
        <v>6397</v>
      </c>
      <c r="BD513" s="3" t="s">
        <v>6398</v>
      </c>
    </row>
    <row r="514" spans="1:56" ht="45" customHeight="1" x14ac:dyDescent="0.25">
      <c r="A514" s="8" t="s">
        <v>58</v>
      </c>
      <c r="B514" s="2" t="s">
        <v>6086</v>
      </c>
      <c r="C514" s="2" t="s">
        <v>6087</v>
      </c>
      <c r="D514" s="2" t="s">
        <v>6088</v>
      </c>
      <c r="F514" s="3" t="s">
        <v>58</v>
      </c>
      <c r="G514" s="3" t="s">
        <v>59</v>
      </c>
      <c r="H514" s="3" t="s">
        <v>68</v>
      </c>
      <c r="I514" s="3" t="s">
        <v>58</v>
      </c>
      <c r="J514" s="3" t="s">
        <v>60</v>
      </c>
      <c r="L514" s="2" t="s">
        <v>6089</v>
      </c>
      <c r="M514" s="3" t="s">
        <v>509</v>
      </c>
      <c r="O514" s="3" t="s">
        <v>64</v>
      </c>
      <c r="P514" s="3" t="s">
        <v>177</v>
      </c>
      <c r="R514" s="3" t="s">
        <v>66</v>
      </c>
      <c r="S514" s="4">
        <v>4</v>
      </c>
      <c r="T514" s="4">
        <v>5</v>
      </c>
      <c r="U514" s="5" t="s">
        <v>6090</v>
      </c>
      <c r="V514" s="5" t="s">
        <v>6090</v>
      </c>
      <c r="W514" s="5" t="s">
        <v>6399</v>
      </c>
      <c r="X514" s="5" t="s">
        <v>5027</v>
      </c>
      <c r="Y514" s="4">
        <v>164</v>
      </c>
      <c r="Z514" s="4">
        <v>136</v>
      </c>
      <c r="AA514" s="4">
        <v>140</v>
      </c>
      <c r="AB514" s="4">
        <v>2</v>
      </c>
      <c r="AC514" s="4">
        <v>2</v>
      </c>
      <c r="AD514" s="4">
        <v>3</v>
      </c>
      <c r="AE514" s="4">
        <v>3</v>
      </c>
      <c r="AF514" s="4">
        <v>0</v>
      </c>
      <c r="AG514" s="4">
        <v>0</v>
      </c>
      <c r="AH514" s="4">
        <v>2</v>
      </c>
      <c r="AI514" s="4">
        <v>2</v>
      </c>
      <c r="AJ514" s="4">
        <v>2</v>
      </c>
      <c r="AK514" s="4">
        <v>2</v>
      </c>
      <c r="AL514" s="4">
        <v>0</v>
      </c>
      <c r="AM514" s="4">
        <v>0</v>
      </c>
      <c r="AN514" s="4">
        <v>0</v>
      </c>
      <c r="AO514" s="4">
        <v>0</v>
      </c>
      <c r="AP514" s="3" t="s">
        <v>58</v>
      </c>
      <c r="AQ514" s="3" t="s">
        <v>58</v>
      </c>
      <c r="AS514" s="6" t="str">
        <f>HYPERLINK("https://creighton-primo.hosted.exlibrisgroup.com/primo-explore/search?tab=default_tab&amp;search_scope=EVERYTHING&amp;vid=01CRU&amp;lang=en_US&amp;offset=0&amp;query=any,contains,991001791849702656","Catalog Record")</f>
        <v>Catalog Record</v>
      </c>
      <c r="AT514" s="6" t="str">
        <f>HYPERLINK("http://www.worldcat.org/oclc/32464999","WorldCat Record")</f>
        <v>WorldCat Record</v>
      </c>
      <c r="AU514" s="3" t="s">
        <v>6091</v>
      </c>
      <c r="AV514" s="3" t="s">
        <v>6092</v>
      </c>
      <c r="AW514" s="3" t="s">
        <v>6093</v>
      </c>
      <c r="AX514" s="3" t="s">
        <v>6093</v>
      </c>
      <c r="AY514" s="3" t="s">
        <v>6400</v>
      </c>
      <c r="AZ514" s="3" t="s">
        <v>73</v>
      </c>
      <c r="BB514" s="3" t="s">
        <v>6095</v>
      </c>
      <c r="BC514" s="3" t="s">
        <v>6401</v>
      </c>
      <c r="BD514" s="3" t="s">
        <v>6402</v>
      </c>
    </row>
    <row r="515" spans="1:56" ht="45" customHeight="1" x14ac:dyDescent="0.25">
      <c r="A515" s="8" t="s">
        <v>58</v>
      </c>
      <c r="B515" s="2" t="s">
        <v>6403</v>
      </c>
      <c r="C515" s="2" t="s">
        <v>6404</v>
      </c>
      <c r="D515" s="2" t="s">
        <v>6405</v>
      </c>
      <c r="F515" s="3" t="s">
        <v>58</v>
      </c>
      <c r="G515" s="3" t="s">
        <v>59</v>
      </c>
      <c r="H515" s="3" t="s">
        <v>58</v>
      </c>
      <c r="I515" s="3" t="s">
        <v>68</v>
      </c>
      <c r="J515" s="3" t="s">
        <v>60</v>
      </c>
      <c r="K515" s="2" t="s">
        <v>6406</v>
      </c>
      <c r="L515" s="2" t="s">
        <v>6407</v>
      </c>
      <c r="M515" s="3" t="s">
        <v>480</v>
      </c>
      <c r="N515" s="2" t="s">
        <v>567</v>
      </c>
      <c r="O515" s="3" t="s">
        <v>64</v>
      </c>
      <c r="P515" s="3" t="s">
        <v>6266</v>
      </c>
      <c r="Q515" s="2" t="s">
        <v>6408</v>
      </c>
      <c r="R515" s="3" t="s">
        <v>66</v>
      </c>
      <c r="S515" s="4">
        <v>3</v>
      </c>
      <c r="T515" s="4">
        <v>3</v>
      </c>
      <c r="U515" s="5" t="s">
        <v>6409</v>
      </c>
      <c r="V515" s="5" t="s">
        <v>6409</v>
      </c>
      <c r="W515" s="5" t="s">
        <v>6410</v>
      </c>
      <c r="X515" s="5" t="s">
        <v>6410</v>
      </c>
      <c r="Y515" s="4">
        <v>180</v>
      </c>
      <c r="Z515" s="4">
        <v>148</v>
      </c>
      <c r="AA515" s="4">
        <v>211</v>
      </c>
      <c r="AB515" s="4">
        <v>1</v>
      </c>
      <c r="AC515" s="4">
        <v>1</v>
      </c>
      <c r="AD515" s="4">
        <v>1</v>
      </c>
      <c r="AE515" s="4">
        <v>3</v>
      </c>
      <c r="AF515" s="4">
        <v>0</v>
      </c>
      <c r="AG515" s="4">
        <v>0</v>
      </c>
      <c r="AH515" s="4">
        <v>0</v>
      </c>
      <c r="AI515" s="4">
        <v>0</v>
      </c>
      <c r="AJ515" s="4">
        <v>1</v>
      </c>
      <c r="AK515" s="4">
        <v>3</v>
      </c>
      <c r="AL515" s="4">
        <v>0</v>
      </c>
      <c r="AM515" s="4">
        <v>0</v>
      </c>
      <c r="AN515" s="4">
        <v>0</v>
      </c>
      <c r="AO515" s="4">
        <v>0</v>
      </c>
      <c r="AP515" s="3" t="s">
        <v>58</v>
      </c>
      <c r="AQ515" s="3" t="s">
        <v>68</v>
      </c>
      <c r="AR515" s="6" t="str">
        <f>HYPERLINK("http://catalog.hathitrust.org/Record/002577173","HathiTrust Record")</f>
        <v>HathiTrust Record</v>
      </c>
      <c r="AS515" s="6" t="str">
        <f>HYPERLINK("https://creighton-primo.hosted.exlibrisgroup.com/primo-explore/search?tab=default_tab&amp;search_scope=EVERYTHING&amp;vid=01CRU&amp;lang=en_US&amp;offset=0&amp;query=any,contains,991001437179702656","Catalog Record")</f>
        <v>Catalog Record</v>
      </c>
      <c r="AT515" s="6" t="str">
        <f>HYPERLINK("http://www.worldcat.org/oclc/7774234","WorldCat Record")</f>
        <v>WorldCat Record</v>
      </c>
      <c r="AU515" s="3" t="s">
        <v>6411</v>
      </c>
      <c r="AV515" s="3" t="s">
        <v>6412</v>
      </c>
      <c r="AW515" s="3" t="s">
        <v>6413</v>
      </c>
      <c r="AX515" s="3" t="s">
        <v>6413</v>
      </c>
      <c r="AY515" s="3" t="s">
        <v>6414</v>
      </c>
      <c r="AZ515" s="3" t="s">
        <v>73</v>
      </c>
      <c r="BB515" s="3" t="s">
        <v>6415</v>
      </c>
      <c r="BC515" s="3" t="s">
        <v>6416</v>
      </c>
      <c r="BD515" s="3" t="s">
        <v>6417</v>
      </c>
    </row>
    <row r="516" spans="1:56" ht="45" customHeight="1" x14ac:dyDescent="0.25">
      <c r="A516" s="8" t="s">
        <v>58</v>
      </c>
      <c r="B516" s="2" t="s">
        <v>6403</v>
      </c>
      <c r="C516" s="2" t="s">
        <v>6404</v>
      </c>
      <c r="D516" s="2" t="s">
        <v>6418</v>
      </c>
      <c r="F516" s="3" t="s">
        <v>58</v>
      </c>
      <c r="G516" s="3" t="s">
        <v>59</v>
      </c>
      <c r="H516" s="3" t="s">
        <v>58</v>
      </c>
      <c r="I516" s="3" t="s">
        <v>68</v>
      </c>
      <c r="J516" s="3" t="s">
        <v>60</v>
      </c>
      <c r="K516" s="2" t="s">
        <v>6419</v>
      </c>
      <c r="L516" s="2" t="s">
        <v>6420</v>
      </c>
      <c r="M516" s="3" t="s">
        <v>2743</v>
      </c>
      <c r="O516" s="3" t="s">
        <v>64</v>
      </c>
      <c r="P516" s="3" t="s">
        <v>6233</v>
      </c>
      <c r="Q516" s="2" t="s">
        <v>6421</v>
      </c>
      <c r="R516" s="3" t="s">
        <v>66</v>
      </c>
      <c r="S516" s="4">
        <v>2</v>
      </c>
      <c r="T516" s="4">
        <v>2</v>
      </c>
      <c r="U516" s="5" t="s">
        <v>6422</v>
      </c>
      <c r="V516" s="5" t="s">
        <v>6422</v>
      </c>
      <c r="W516" s="5" t="s">
        <v>6423</v>
      </c>
      <c r="X516" s="5" t="s">
        <v>6423</v>
      </c>
      <c r="Y516" s="4">
        <v>116</v>
      </c>
      <c r="Z516" s="4">
        <v>74</v>
      </c>
      <c r="AA516" s="4">
        <v>263</v>
      </c>
      <c r="AB516" s="4">
        <v>1</v>
      </c>
      <c r="AC516" s="4">
        <v>2</v>
      </c>
      <c r="AD516" s="4">
        <v>3</v>
      </c>
      <c r="AE516" s="4">
        <v>8</v>
      </c>
      <c r="AF516" s="4">
        <v>1</v>
      </c>
      <c r="AG516" s="4">
        <v>1</v>
      </c>
      <c r="AH516" s="4">
        <v>0</v>
      </c>
      <c r="AI516" s="4">
        <v>1</v>
      </c>
      <c r="AJ516" s="4">
        <v>2</v>
      </c>
      <c r="AK516" s="4">
        <v>5</v>
      </c>
      <c r="AL516" s="4">
        <v>0</v>
      </c>
      <c r="AM516" s="4">
        <v>1</v>
      </c>
      <c r="AN516" s="4">
        <v>0</v>
      </c>
      <c r="AO516" s="4">
        <v>0</v>
      </c>
      <c r="AP516" s="3" t="s">
        <v>58</v>
      </c>
      <c r="AQ516" s="3" t="s">
        <v>68</v>
      </c>
      <c r="AR516" s="6" t="str">
        <f>HYPERLINK("http://catalog.hathitrust.org/Record/002580958","HathiTrust Record")</f>
        <v>HathiTrust Record</v>
      </c>
      <c r="AS516" s="6" t="str">
        <f>HYPERLINK("https://creighton-primo.hosted.exlibrisgroup.com/primo-explore/search?tab=default_tab&amp;search_scope=EVERYTHING&amp;vid=01CRU&amp;lang=en_US&amp;offset=0&amp;query=any,contains,991001436739702656","Catalog Record")</f>
        <v>Catalog Record</v>
      </c>
      <c r="AT516" s="6" t="str">
        <f>HYPERLINK("http://www.worldcat.org/oclc/993467","WorldCat Record")</f>
        <v>WorldCat Record</v>
      </c>
      <c r="AU516" s="3" t="s">
        <v>6424</v>
      </c>
      <c r="AV516" s="3" t="s">
        <v>6425</v>
      </c>
      <c r="AW516" s="3" t="s">
        <v>6426</v>
      </c>
      <c r="AX516" s="3" t="s">
        <v>6426</v>
      </c>
      <c r="AY516" s="3" t="s">
        <v>6427</v>
      </c>
      <c r="AZ516" s="3" t="s">
        <v>73</v>
      </c>
      <c r="BC516" s="3" t="s">
        <v>6428</v>
      </c>
      <c r="BD516" s="3" t="s">
        <v>6429</v>
      </c>
    </row>
    <row r="517" spans="1:56" ht="45" customHeight="1" x14ac:dyDescent="0.25">
      <c r="A517" s="8" t="s">
        <v>58</v>
      </c>
      <c r="B517" s="2" t="s">
        <v>6403</v>
      </c>
      <c r="C517" s="2" t="s">
        <v>6404</v>
      </c>
      <c r="D517" s="2" t="s">
        <v>6430</v>
      </c>
      <c r="F517" s="3" t="s">
        <v>58</v>
      </c>
      <c r="G517" s="3" t="s">
        <v>59</v>
      </c>
      <c r="H517" s="3" t="s">
        <v>58</v>
      </c>
      <c r="I517" s="3" t="s">
        <v>58</v>
      </c>
      <c r="J517" s="3" t="s">
        <v>60</v>
      </c>
      <c r="K517" s="2" t="s">
        <v>6431</v>
      </c>
      <c r="L517" s="2" t="s">
        <v>6432</v>
      </c>
      <c r="M517" s="3" t="s">
        <v>1768</v>
      </c>
      <c r="O517" s="3" t="s">
        <v>64</v>
      </c>
      <c r="P517" s="3" t="s">
        <v>846</v>
      </c>
      <c r="Q517" s="2" t="s">
        <v>6433</v>
      </c>
      <c r="R517" s="3" t="s">
        <v>66</v>
      </c>
      <c r="S517" s="4">
        <v>2</v>
      </c>
      <c r="T517" s="4">
        <v>2</v>
      </c>
      <c r="U517" s="5" t="s">
        <v>6434</v>
      </c>
      <c r="V517" s="5" t="s">
        <v>6434</v>
      </c>
      <c r="W517" s="5" t="s">
        <v>6410</v>
      </c>
      <c r="X517" s="5" t="s">
        <v>6410</v>
      </c>
      <c r="Y517" s="4">
        <v>123</v>
      </c>
      <c r="Z517" s="4">
        <v>94</v>
      </c>
      <c r="AA517" s="4">
        <v>96</v>
      </c>
      <c r="AB517" s="4">
        <v>1</v>
      </c>
      <c r="AC517" s="4">
        <v>1</v>
      </c>
      <c r="AD517" s="4">
        <v>1</v>
      </c>
      <c r="AE517" s="4">
        <v>1</v>
      </c>
      <c r="AF517" s="4">
        <v>0</v>
      </c>
      <c r="AG517" s="4">
        <v>0</v>
      </c>
      <c r="AH517" s="4">
        <v>0</v>
      </c>
      <c r="AI517" s="4">
        <v>0</v>
      </c>
      <c r="AJ517" s="4">
        <v>1</v>
      </c>
      <c r="AK517" s="4">
        <v>1</v>
      </c>
      <c r="AL517" s="4">
        <v>0</v>
      </c>
      <c r="AM517" s="4">
        <v>0</v>
      </c>
      <c r="AN517" s="4">
        <v>0</v>
      </c>
      <c r="AO517" s="4">
        <v>0</v>
      </c>
      <c r="AP517" s="3" t="s">
        <v>58</v>
      </c>
      <c r="AQ517" s="3" t="s">
        <v>68</v>
      </c>
      <c r="AR517" s="6" t="str">
        <f>HYPERLINK("http://catalog.hathitrust.org/Record/002577121","HathiTrust Record")</f>
        <v>HathiTrust Record</v>
      </c>
      <c r="AS517" s="6" t="str">
        <f>HYPERLINK("https://creighton-primo.hosted.exlibrisgroup.com/primo-explore/search?tab=default_tab&amp;search_scope=EVERYTHING&amp;vid=01CRU&amp;lang=en_US&amp;offset=0&amp;query=any,contains,991001437039702656","Catalog Record")</f>
        <v>Catalog Record</v>
      </c>
      <c r="AT517" s="6" t="str">
        <f>HYPERLINK("http://www.worldcat.org/oclc/3677162","WorldCat Record")</f>
        <v>WorldCat Record</v>
      </c>
      <c r="AU517" s="3" t="s">
        <v>6435</v>
      </c>
      <c r="AV517" s="3" t="s">
        <v>6436</v>
      </c>
      <c r="AW517" s="3" t="s">
        <v>6437</v>
      </c>
      <c r="AX517" s="3" t="s">
        <v>6437</v>
      </c>
      <c r="AY517" s="3" t="s">
        <v>6438</v>
      </c>
      <c r="AZ517" s="3" t="s">
        <v>73</v>
      </c>
      <c r="BC517" s="3" t="s">
        <v>6439</v>
      </c>
      <c r="BD517" s="3" t="s">
        <v>6440</v>
      </c>
    </row>
    <row r="518" spans="1:56" ht="45" customHeight="1" x14ac:dyDescent="0.25">
      <c r="A518" s="8" t="s">
        <v>58</v>
      </c>
      <c r="B518" s="2" t="s">
        <v>6403</v>
      </c>
      <c r="C518" s="2" t="s">
        <v>6404</v>
      </c>
      <c r="D518" s="2" t="s">
        <v>6441</v>
      </c>
      <c r="F518" s="3" t="s">
        <v>58</v>
      </c>
      <c r="G518" s="3" t="s">
        <v>59</v>
      </c>
      <c r="H518" s="3" t="s">
        <v>58</v>
      </c>
      <c r="I518" s="3" t="s">
        <v>68</v>
      </c>
      <c r="J518" s="3" t="s">
        <v>60</v>
      </c>
      <c r="K518" s="2" t="s">
        <v>6442</v>
      </c>
      <c r="L518" s="2" t="s">
        <v>6443</v>
      </c>
      <c r="M518" s="3" t="s">
        <v>291</v>
      </c>
      <c r="O518" s="3" t="s">
        <v>64</v>
      </c>
      <c r="P518" s="3" t="s">
        <v>846</v>
      </c>
      <c r="Q518" s="2" t="s">
        <v>6444</v>
      </c>
      <c r="R518" s="3" t="s">
        <v>66</v>
      </c>
      <c r="S518" s="4">
        <v>5</v>
      </c>
      <c r="T518" s="4">
        <v>5</v>
      </c>
      <c r="U518" s="5" t="s">
        <v>6445</v>
      </c>
      <c r="V518" s="5" t="s">
        <v>6445</v>
      </c>
      <c r="W518" s="5" t="s">
        <v>6410</v>
      </c>
      <c r="X518" s="5" t="s">
        <v>6410</v>
      </c>
      <c r="Y518" s="4">
        <v>160</v>
      </c>
      <c r="Z518" s="4">
        <v>116</v>
      </c>
      <c r="AA518" s="4">
        <v>449</v>
      </c>
      <c r="AB518" s="4">
        <v>1</v>
      </c>
      <c r="AC518" s="4">
        <v>2</v>
      </c>
      <c r="AD518" s="4">
        <v>0</v>
      </c>
      <c r="AE518" s="4">
        <v>13</v>
      </c>
      <c r="AF518" s="4">
        <v>0</v>
      </c>
      <c r="AG518" s="4">
        <v>4</v>
      </c>
      <c r="AH518" s="4">
        <v>0</v>
      </c>
      <c r="AI518" s="4">
        <v>4</v>
      </c>
      <c r="AJ518" s="4">
        <v>0</v>
      </c>
      <c r="AK518" s="4">
        <v>7</v>
      </c>
      <c r="AL518" s="4">
        <v>0</v>
      </c>
      <c r="AM518" s="4">
        <v>1</v>
      </c>
      <c r="AN518" s="4">
        <v>0</v>
      </c>
      <c r="AO518" s="4">
        <v>0</v>
      </c>
      <c r="AP518" s="3" t="s">
        <v>58</v>
      </c>
      <c r="AQ518" s="3" t="s">
        <v>68</v>
      </c>
      <c r="AR518" s="6" t="str">
        <f>HYPERLINK("http://catalog.hathitrust.org/Record/000084752","HathiTrust Record")</f>
        <v>HathiTrust Record</v>
      </c>
      <c r="AS518" s="6" t="str">
        <f>HYPERLINK("https://creighton-primo.hosted.exlibrisgroup.com/primo-explore/search?tab=default_tab&amp;search_scope=EVERYTHING&amp;vid=01CRU&amp;lang=en_US&amp;offset=0&amp;query=any,contains,991001437809702656","Catalog Record")</f>
        <v>Catalog Record</v>
      </c>
      <c r="AT518" s="6" t="str">
        <f>HYPERLINK("http://www.worldcat.org/oclc/6666494","WorldCat Record")</f>
        <v>WorldCat Record</v>
      </c>
      <c r="AU518" s="3" t="s">
        <v>6446</v>
      </c>
      <c r="AV518" s="3" t="s">
        <v>6447</v>
      </c>
      <c r="AW518" s="3" t="s">
        <v>6448</v>
      </c>
      <c r="AX518" s="3" t="s">
        <v>6448</v>
      </c>
      <c r="AY518" s="3" t="s">
        <v>6449</v>
      </c>
      <c r="AZ518" s="3" t="s">
        <v>73</v>
      </c>
      <c r="BB518" s="3" t="s">
        <v>6450</v>
      </c>
      <c r="BC518" s="3" t="s">
        <v>6451</v>
      </c>
      <c r="BD518" s="3" t="s">
        <v>6452</v>
      </c>
    </row>
    <row r="519" spans="1:56" ht="45" customHeight="1" x14ac:dyDescent="0.25">
      <c r="A519" s="8" t="s">
        <v>58</v>
      </c>
      <c r="B519" s="2" t="s">
        <v>6403</v>
      </c>
      <c r="C519" s="2" t="s">
        <v>6404</v>
      </c>
      <c r="D519" s="2" t="s">
        <v>6453</v>
      </c>
      <c r="F519" s="3" t="s">
        <v>58</v>
      </c>
      <c r="G519" s="3" t="s">
        <v>59</v>
      </c>
      <c r="H519" s="3" t="s">
        <v>58</v>
      </c>
      <c r="I519" s="3" t="s">
        <v>58</v>
      </c>
      <c r="J519" s="3" t="s">
        <v>60</v>
      </c>
      <c r="K519" s="2" t="s">
        <v>6454</v>
      </c>
      <c r="L519" s="2" t="s">
        <v>6455</v>
      </c>
      <c r="M519" s="3" t="s">
        <v>291</v>
      </c>
      <c r="N519" s="2" t="s">
        <v>567</v>
      </c>
      <c r="O519" s="3" t="s">
        <v>64</v>
      </c>
      <c r="P519" s="3" t="s">
        <v>6266</v>
      </c>
      <c r="Q519" s="2" t="s">
        <v>6456</v>
      </c>
      <c r="R519" s="3" t="s">
        <v>66</v>
      </c>
      <c r="S519" s="4">
        <v>3</v>
      </c>
      <c r="T519" s="4">
        <v>3</v>
      </c>
      <c r="U519" s="5" t="s">
        <v>6457</v>
      </c>
      <c r="V519" s="5" t="s">
        <v>6457</v>
      </c>
      <c r="W519" s="5" t="s">
        <v>6410</v>
      </c>
      <c r="X519" s="5" t="s">
        <v>6410</v>
      </c>
      <c r="Y519" s="4">
        <v>159</v>
      </c>
      <c r="Z519" s="4">
        <v>118</v>
      </c>
      <c r="AA519" s="4">
        <v>167</v>
      </c>
      <c r="AB519" s="4">
        <v>1</v>
      </c>
      <c r="AC519" s="4">
        <v>1</v>
      </c>
      <c r="AD519" s="4">
        <v>1</v>
      </c>
      <c r="AE519" s="4">
        <v>2</v>
      </c>
      <c r="AF519" s="4">
        <v>0</v>
      </c>
      <c r="AG519" s="4">
        <v>0</v>
      </c>
      <c r="AH519" s="4">
        <v>0</v>
      </c>
      <c r="AI519" s="4">
        <v>0</v>
      </c>
      <c r="AJ519" s="4">
        <v>1</v>
      </c>
      <c r="AK519" s="4">
        <v>2</v>
      </c>
      <c r="AL519" s="4">
        <v>0</v>
      </c>
      <c r="AM519" s="4">
        <v>0</v>
      </c>
      <c r="AN519" s="4">
        <v>0</v>
      </c>
      <c r="AO519" s="4">
        <v>0</v>
      </c>
      <c r="AP519" s="3" t="s">
        <v>58</v>
      </c>
      <c r="AQ519" s="3" t="s">
        <v>68</v>
      </c>
      <c r="AR519" s="6" t="str">
        <f>HYPERLINK("http://catalog.hathitrust.org/Record/000144076","HathiTrust Record")</f>
        <v>HathiTrust Record</v>
      </c>
      <c r="AS519" s="6" t="str">
        <f>HYPERLINK("https://creighton-primo.hosted.exlibrisgroup.com/primo-explore/search?tab=default_tab&amp;search_scope=EVERYTHING&amp;vid=01CRU&amp;lang=en_US&amp;offset=0&amp;query=any,contains,991001437379702656","Catalog Record")</f>
        <v>Catalog Record</v>
      </c>
      <c r="AT519" s="6" t="str">
        <f>HYPERLINK("http://www.worldcat.org/oclc/7573425","WorldCat Record")</f>
        <v>WorldCat Record</v>
      </c>
      <c r="AU519" s="3" t="s">
        <v>6458</v>
      </c>
      <c r="AV519" s="3" t="s">
        <v>6459</v>
      </c>
      <c r="AW519" s="3" t="s">
        <v>6460</v>
      </c>
      <c r="AX519" s="3" t="s">
        <v>6460</v>
      </c>
      <c r="AY519" s="3" t="s">
        <v>6461</v>
      </c>
      <c r="AZ519" s="3" t="s">
        <v>73</v>
      </c>
      <c r="BB519" s="3" t="s">
        <v>6462</v>
      </c>
      <c r="BC519" s="3" t="s">
        <v>6463</v>
      </c>
      <c r="BD519" s="3" t="s">
        <v>6464</v>
      </c>
    </row>
    <row r="520" spans="1:56" ht="45" customHeight="1" x14ac:dyDescent="0.25">
      <c r="A520" s="8" t="s">
        <v>58</v>
      </c>
      <c r="B520" s="2" t="s">
        <v>6403</v>
      </c>
      <c r="C520" s="2" t="s">
        <v>6404</v>
      </c>
      <c r="D520" s="2" t="s">
        <v>6430</v>
      </c>
      <c r="F520" s="3" t="s">
        <v>58</v>
      </c>
      <c r="G520" s="3" t="s">
        <v>59</v>
      </c>
      <c r="H520" s="3" t="s">
        <v>58</v>
      </c>
      <c r="I520" s="3" t="s">
        <v>68</v>
      </c>
      <c r="J520" s="3" t="s">
        <v>60</v>
      </c>
      <c r="K520" s="2" t="s">
        <v>6431</v>
      </c>
      <c r="L520" s="2" t="s">
        <v>6465</v>
      </c>
      <c r="M520" s="3" t="s">
        <v>762</v>
      </c>
      <c r="N520" s="2" t="s">
        <v>6466</v>
      </c>
      <c r="O520" s="3" t="s">
        <v>64</v>
      </c>
      <c r="P520" s="3" t="s">
        <v>846</v>
      </c>
      <c r="Q520" s="2" t="s">
        <v>6433</v>
      </c>
      <c r="R520" s="3" t="s">
        <v>66</v>
      </c>
      <c r="S520" s="4">
        <v>2</v>
      </c>
      <c r="T520" s="4">
        <v>2</v>
      </c>
      <c r="U520" s="5" t="s">
        <v>6434</v>
      </c>
      <c r="V520" s="5" t="s">
        <v>6434</v>
      </c>
      <c r="W520" s="5" t="s">
        <v>6423</v>
      </c>
      <c r="X520" s="5" t="s">
        <v>6423</v>
      </c>
      <c r="Y520" s="4">
        <v>146</v>
      </c>
      <c r="Z520" s="4">
        <v>102</v>
      </c>
      <c r="AA520" s="4">
        <v>169</v>
      </c>
      <c r="AB520" s="4">
        <v>1</v>
      </c>
      <c r="AC520" s="4">
        <v>1</v>
      </c>
      <c r="AD520" s="4">
        <v>1</v>
      </c>
      <c r="AE520" s="4">
        <v>2</v>
      </c>
      <c r="AF520" s="4">
        <v>0</v>
      </c>
      <c r="AG520" s="4">
        <v>0</v>
      </c>
      <c r="AH520" s="4">
        <v>0</v>
      </c>
      <c r="AI520" s="4">
        <v>0</v>
      </c>
      <c r="AJ520" s="4">
        <v>1</v>
      </c>
      <c r="AK520" s="4">
        <v>2</v>
      </c>
      <c r="AL520" s="4">
        <v>0</v>
      </c>
      <c r="AM520" s="4">
        <v>0</v>
      </c>
      <c r="AN520" s="4">
        <v>0</v>
      </c>
      <c r="AO520" s="4">
        <v>0</v>
      </c>
      <c r="AP520" s="3" t="s">
        <v>58</v>
      </c>
      <c r="AQ520" s="3" t="s">
        <v>68</v>
      </c>
      <c r="AR520" s="6" t="str">
        <f>HYPERLINK("http://catalog.hathitrust.org/Record/002577046","HathiTrust Record")</f>
        <v>HathiTrust Record</v>
      </c>
      <c r="AS520" s="6" t="str">
        <f>HYPERLINK("https://creighton-primo.hosted.exlibrisgroup.com/primo-explore/search?tab=default_tab&amp;search_scope=EVERYTHING&amp;vid=01CRU&amp;lang=en_US&amp;offset=0&amp;query=any,contains,991001437099702656","Catalog Record")</f>
        <v>Catalog Record</v>
      </c>
      <c r="AT520" s="6" t="str">
        <f>HYPERLINK("http://www.worldcat.org/oclc/297607","WorldCat Record")</f>
        <v>WorldCat Record</v>
      </c>
      <c r="AU520" s="3" t="s">
        <v>6467</v>
      </c>
      <c r="AV520" s="3" t="s">
        <v>6468</v>
      </c>
      <c r="AW520" s="3" t="s">
        <v>6469</v>
      </c>
      <c r="AX520" s="3" t="s">
        <v>6469</v>
      </c>
      <c r="AY520" s="3" t="s">
        <v>6470</v>
      </c>
      <c r="AZ520" s="3" t="s">
        <v>73</v>
      </c>
      <c r="BB520" s="3" t="s">
        <v>6471</v>
      </c>
      <c r="BC520" s="3" t="s">
        <v>6472</v>
      </c>
      <c r="BD520" s="3" t="s">
        <v>6473</v>
      </c>
    </row>
    <row r="521" spans="1:56" ht="45" customHeight="1" x14ac:dyDescent="0.25">
      <c r="A521" s="8" t="s">
        <v>58</v>
      </c>
      <c r="B521" s="2" t="s">
        <v>6403</v>
      </c>
      <c r="C521" s="2" t="s">
        <v>6404</v>
      </c>
      <c r="D521" s="2" t="s">
        <v>6474</v>
      </c>
      <c r="F521" s="3" t="s">
        <v>58</v>
      </c>
      <c r="G521" s="3" t="s">
        <v>59</v>
      </c>
      <c r="H521" s="3" t="s">
        <v>58</v>
      </c>
      <c r="I521" s="3" t="s">
        <v>58</v>
      </c>
      <c r="J521" s="3" t="s">
        <v>60</v>
      </c>
      <c r="K521" s="2" t="s">
        <v>6454</v>
      </c>
      <c r="L521" s="2" t="s">
        <v>6475</v>
      </c>
      <c r="M521" s="3" t="s">
        <v>762</v>
      </c>
      <c r="O521" s="3" t="s">
        <v>64</v>
      </c>
      <c r="P521" s="3" t="s">
        <v>846</v>
      </c>
      <c r="Q521" s="2" t="s">
        <v>6476</v>
      </c>
      <c r="R521" s="3" t="s">
        <v>66</v>
      </c>
      <c r="S521" s="4">
        <v>3</v>
      </c>
      <c r="T521" s="4">
        <v>3</v>
      </c>
      <c r="U521" s="5" t="s">
        <v>6457</v>
      </c>
      <c r="V521" s="5" t="s">
        <v>6457</v>
      </c>
      <c r="W521" s="5" t="s">
        <v>6423</v>
      </c>
      <c r="X521" s="5" t="s">
        <v>6423</v>
      </c>
      <c r="Y521" s="4">
        <v>147</v>
      </c>
      <c r="Z521" s="4">
        <v>100</v>
      </c>
      <c r="AA521" s="4">
        <v>158</v>
      </c>
      <c r="AB521" s="4">
        <v>2</v>
      </c>
      <c r="AC521" s="4">
        <v>3</v>
      </c>
      <c r="AD521" s="4">
        <v>3</v>
      </c>
      <c r="AE521" s="4">
        <v>4</v>
      </c>
      <c r="AF521" s="4">
        <v>0</v>
      </c>
      <c r="AG521" s="4">
        <v>0</v>
      </c>
      <c r="AH521" s="4">
        <v>0</v>
      </c>
      <c r="AI521" s="4">
        <v>0</v>
      </c>
      <c r="AJ521" s="4">
        <v>2</v>
      </c>
      <c r="AK521" s="4">
        <v>2</v>
      </c>
      <c r="AL521" s="4">
        <v>1</v>
      </c>
      <c r="AM521" s="4">
        <v>2</v>
      </c>
      <c r="AN521" s="4">
        <v>0</v>
      </c>
      <c r="AO521" s="4">
        <v>0</v>
      </c>
      <c r="AP521" s="3" t="s">
        <v>58</v>
      </c>
      <c r="AQ521" s="3" t="s">
        <v>68</v>
      </c>
      <c r="AR521" s="6" t="str">
        <f>HYPERLINK("http://catalog.hathitrust.org/Record/001663862","HathiTrust Record")</f>
        <v>HathiTrust Record</v>
      </c>
      <c r="AS521" s="6" t="str">
        <f>HYPERLINK("https://creighton-primo.hosted.exlibrisgroup.com/primo-explore/search?tab=default_tab&amp;search_scope=EVERYTHING&amp;vid=01CRU&amp;lang=en_US&amp;offset=0&amp;query=any,contains,991001437219702656","Catalog Record")</f>
        <v>Catalog Record</v>
      </c>
      <c r="AT521" s="6" t="str">
        <f>HYPERLINK("http://www.worldcat.org/oclc/403062","WorldCat Record")</f>
        <v>WorldCat Record</v>
      </c>
      <c r="AU521" s="3" t="s">
        <v>6477</v>
      </c>
      <c r="AV521" s="3" t="s">
        <v>6478</v>
      </c>
      <c r="AW521" s="3" t="s">
        <v>6479</v>
      </c>
      <c r="AX521" s="3" t="s">
        <v>6479</v>
      </c>
      <c r="AY521" s="3" t="s">
        <v>6480</v>
      </c>
      <c r="AZ521" s="3" t="s">
        <v>73</v>
      </c>
      <c r="BB521" s="3" t="s">
        <v>6481</v>
      </c>
      <c r="BC521" s="3" t="s">
        <v>6482</v>
      </c>
      <c r="BD521" s="3" t="s">
        <v>6483</v>
      </c>
    </row>
  </sheetData>
  <sheetProtection sheet="1" objects="1" scenarios="1"/>
  <protectedRanges>
    <protectedRange sqref="A1:A1048576" name="Range1"/>
  </protectedRanges>
  <dataValidations count="1">
    <dataValidation type="list" allowBlank="1" showInputMessage="1" showErrorMessage="1" sqref="A2:A1048576" xr:uid="{7851C151-35D1-46EC-BBF4-5FDC2B37BA0F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5DA0D31D-1B9D-4C1D-9890-01F0A71FE82E}"/>
</file>

<file path=customXml/itemProps2.xml><?xml version="1.0" encoding="utf-8"?>
<ds:datastoreItem xmlns:ds="http://schemas.openxmlformats.org/officeDocument/2006/customXml" ds:itemID="{DCB1F98C-3CC3-4B07-A17C-61CA73F088CB}"/>
</file>

<file path=customXml/itemProps3.xml><?xml version="1.0" encoding="utf-8"?>
<ds:datastoreItem xmlns:ds="http://schemas.openxmlformats.org/officeDocument/2006/customXml" ds:itemID="{48B0B156-076B-43D4-899F-EC158CCB47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Kiscaden, Elizabeth J</dc:creator>
  <cp:lastModifiedBy>Kiscaden, Elizabeth J</cp:lastModifiedBy>
  <dcterms:created xsi:type="dcterms:W3CDTF">2022-03-03T17:39:28Z</dcterms:created>
  <dcterms:modified xsi:type="dcterms:W3CDTF">2022-03-03T17:45:38Z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289400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