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DD29F45A-C572-4797-8A8B-2291C0C4EB44}" xr6:coauthVersionLast="47" xr6:coauthVersionMax="47" xr10:uidLastSave="{00000000-0000-0000-0000-000000000000}"/>
  <bookViews>
    <workbookView xWindow="-28920" yWindow="-120" windowWidth="29040" windowHeight="15840" xr2:uid="{7223A6FD-BAE9-4F26-9C64-2CDF8B658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68" i="1" l="1"/>
  <c r="AS768" i="1"/>
  <c r="AR768" i="1"/>
  <c r="AT767" i="1"/>
  <c r="AS767" i="1"/>
  <c r="AR767" i="1"/>
  <c r="AT766" i="1"/>
  <c r="AS766" i="1"/>
  <c r="AR766" i="1"/>
  <c r="AT765" i="1"/>
  <c r="AS765" i="1"/>
  <c r="AT764" i="1"/>
  <c r="AS764" i="1"/>
  <c r="AR764" i="1"/>
  <c r="AT763" i="1"/>
  <c r="AS763" i="1"/>
  <c r="AT762" i="1"/>
  <c r="AS762" i="1"/>
  <c r="AR762" i="1"/>
  <c r="AT761" i="1"/>
  <c r="AS761" i="1"/>
  <c r="AT760" i="1"/>
  <c r="AS760" i="1"/>
  <c r="AT759" i="1"/>
  <c r="AS759" i="1"/>
  <c r="AT758" i="1"/>
  <c r="AS758" i="1"/>
  <c r="AT757" i="1"/>
  <c r="AS757" i="1"/>
  <c r="AT756" i="1"/>
  <c r="AS756" i="1"/>
  <c r="AT755" i="1"/>
  <c r="AS755" i="1"/>
  <c r="AT754" i="1"/>
  <c r="AS754" i="1"/>
  <c r="AR754" i="1"/>
  <c r="AT753" i="1"/>
  <c r="AS753" i="1"/>
  <c r="AR753" i="1"/>
  <c r="AT752" i="1"/>
  <c r="AS752" i="1"/>
  <c r="AR752" i="1"/>
  <c r="AT751" i="1"/>
  <c r="AS751" i="1"/>
  <c r="AT750" i="1"/>
  <c r="AS750" i="1"/>
  <c r="AT749" i="1"/>
  <c r="AS749" i="1"/>
  <c r="AT748" i="1"/>
  <c r="AS748" i="1"/>
  <c r="AR748" i="1"/>
  <c r="AT747" i="1"/>
  <c r="AS747" i="1"/>
  <c r="AR747" i="1"/>
  <c r="AT746" i="1"/>
  <c r="AS746" i="1"/>
  <c r="AT745" i="1"/>
  <c r="AS745" i="1"/>
  <c r="AR745" i="1"/>
  <c r="AT744" i="1"/>
  <c r="AS744" i="1"/>
  <c r="AT743" i="1"/>
  <c r="AS743" i="1"/>
  <c r="AR743" i="1"/>
  <c r="AT742" i="1"/>
  <c r="AS742" i="1"/>
  <c r="AT741" i="1"/>
  <c r="AS741" i="1"/>
  <c r="AR741" i="1"/>
  <c r="AT740" i="1"/>
  <c r="AS740" i="1"/>
  <c r="AR740" i="1"/>
  <c r="AT739" i="1"/>
  <c r="AS739" i="1"/>
  <c r="AT738" i="1"/>
  <c r="AS738" i="1"/>
  <c r="AT737" i="1"/>
  <c r="AS737" i="1"/>
  <c r="AT736" i="1"/>
  <c r="AS736" i="1"/>
  <c r="AT735" i="1"/>
  <c r="AS735" i="1"/>
  <c r="AT734" i="1"/>
  <c r="AS734" i="1"/>
  <c r="AT733" i="1"/>
  <c r="AS733" i="1"/>
  <c r="AT732" i="1"/>
  <c r="AS732" i="1"/>
  <c r="AT731" i="1"/>
  <c r="AS731" i="1"/>
  <c r="AT730" i="1"/>
  <c r="AS730" i="1"/>
  <c r="AT729" i="1"/>
  <c r="AS729" i="1"/>
  <c r="AT728" i="1"/>
  <c r="AS728" i="1"/>
  <c r="AT727" i="1"/>
  <c r="AS727" i="1"/>
  <c r="AT726" i="1"/>
  <c r="AS726" i="1"/>
  <c r="AR726" i="1"/>
  <c r="AT725" i="1"/>
  <c r="AS725" i="1"/>
  <c r="AR725" i="1"/>
  <c r="AT724" i="1"/>
  <c r="AS724" i="1"/>
  <c r="AT723" i="1"/>
  <c r="AS723" i="1"/>
  <c r="AT722" i="1"/>
  <c r="AS722" i="1"/>
  <c r="AT721" i="1"/>
  <c r="AS721" i="1"/>
  <c r="AT720" i="1"/>
  <c r="AS720" i="1"/>
  <c r="AT719" i="1"/>
  <c r="AS719" i="1"/>
  <c r="AR719" i="1"/>
  <c r="AT718" i="1"/>
  <c r="AS718" i="1"/>
  <c r="AR718" i="1"/>
  <c r="AT717" i="1"/>
  <c r="AS717" i="1"/>
  <c r="AT716" i="1"/>
  <c r="AS716" i="1"/>
  <c r="AR716" i="1"/>
  <c r="AT715" i="1"/>
  <c r="AS715" i="1"/>
  <c r="AR715" i="1"/>
  <c r="AT714" i="1"/>
  <c r="AS714" i="1"/>
  <c r="AT713" i="1"/>
  <c r="AS713" i="1"/>
  <c r="AT712" i="1"/>
  <c r="AS712" i="1"/>
  <c r="AT711" i="1"/>
  <c r="AS711" i="1"/>
  <c r="AT710" i="1"/>
  <c r="AS710" i="1"/>
  <c r="AT709" i="1"/>
  <c r="AS709" i="1"/>
  <c r="AR709" i="1"/>
  <c r="AT708" i="1"/>
  <c r="AS708" i="1"/>
  <c r="AT707" i="1"/>
  <c r="AS707" i="1"/>
  <c r="AR707" i="1"/>
  <c r="AT706" i="1"/>
  <c r="AS706" i="1"/>
  <c r="AR706" i="1"/>
  <c r="AT705" i="1"/>
  <c r="AS705" i="1"/>
  <c r="AR705" i="1"/>
  <c r="AT704" i="1"/>
  <c r="AS704" i="1"/>
  <c r="AT703" i="1"/>
  <c r="AS703" i="1"/>
  <c r="AT702" i="1"/>
  <c r="AS702" i="1"/>
  <c r="AR702" i="1"/>
  <c r="AT701" i="1"/>
  <c r="AS701" i="1"/>
  <c r="AR701" i="1"/>
  <c r="AT700" i="1"/>
  <c r="AS700" i="1"/>
  <c r="AT699" i="1"/>
  <c r="AS699" i="1"/>
  <c r="AT698" i="1"/>
  <c r="AS698" i="1"/>
  <c r="AT697" i="1"/>
  <c r="AS697" i="1"/>
  <c r="AT696" i="1"/>
  <c r="AS696" i="1"/>
  <c r="AR696" i="1"/>
  <c r="AT695" i="1"/>
  <c r="AS695" i="1"/>
  <c r="AR695" i="1"/>
  <c r="AT694" i="1"/>
  <c r="AS694" i="1"/>
  <c r="AR694" i="1"/>
  <c r="AT693" i="1"/>
  <c r="AS693" i="1"/>
  <c r="AT692" i="1"/>
  <c r="AS692" i="1"/>
  <c r="AT691" i="1"/>
  <c r="AS691" i="1"/>
  <c r="AT690" i="1"/>
  <c r="AS690" i="1"/>
  <c r="AR690" i="1"/>
  <c r="AT689" i="1"/>
  <c r="AS689" i="1"/>
  <c r="AR689" i="1"/>
  <c r="AT688" i="1"/>
  <c r="AS688" i="1"/>
  <c r="AR688" i="1"/>
  <c r="AT687" i="1"/>
  <c r="AS687" i="1"/>
  <c r="AR687" i="1"/>
  <c r="AT686" i="1"/>
  <c r="AS686" i="1"/>
  <c r="AR686" i="1"/>
  <c r="AT685" i="1"/>
  <c r="AS685" i="1"/>
  <c r="AR685" i="1"/>
  <c r="AT684" i="1"/>
  <c r="AS684" i="1"/>
  <c r="AR684" i="1"/>
  <c r="AT683" i="1"/>
  <c r="AS683" i="1"/>
  <c r="AT682" i="1"/>
  <c r="AS682" i="1"/>
  <c r="AR682" i="1"/>
  <c r="AT681" i="1"/>
  <c r="AS681" i="1"/>
  <c r="AR681" i="1"/>
  <c r="AT680" i="1"/>
  <c r="AS680" i="1"/>
  <c r="AR680" i="1"/>
  <c r="AT679" i="1"/>
  <c r="AS679" i="1"/>
  <c r="AR679" i="1"/>
  <c r="AT678" i="1"/>
  <c r="AS678" i="1"/>
  <c r="AR678" i="1"/>
  <c r="AT677" i="1"/>
  <c r="AS677" i="1"/>
  <c r="AR677" i="1"/>
  <c r="AT676" i="1"/>
  <c r="AS676" i="1"/>
  <c r="AT675" i="1"/>
  <c r="AS675" i="1"/>
  <c r="AT674" i="1"/>
  <c r="AS674" i="1"/>
  <c r="AT673" i="1"/>
  <c r="AS673" i="1"/>
  <c r="AT672" i="1"/>
  <c r="AS672" i="1"/>
  <c r="AR672" i="1"/>
  <c r="AT671" i="1"/>
  <c r="AS671" i="1"/>
  <c r="AT670" i="1"/>
  <c r="AS670" i="1"/>
  <c r="AT669" i="1"/>
  <c r="AS669" i="1"/>
  <c r="AT668" i="1"/>
  <c r="AS668" i="1"/>
  <c r="AT667" i="1"/>
  <c r="AS667" i="1"/>
  <c r="AT666" i="1"/>
  <c r="AS666" i="1"/>
  <c r="AR666" i="1"/>
  <c r="AT665" i="1"/>
  <c r="AS665" i="1"/>
  <c r="AT664" i="1"/>
  <c r="AS664" i="1"/>
  <c r="AT663" i="1"/>
  <c r="AS663" i="1"/>
  <c r="AT662" i="1"/>
  <c r="AS662" i="1"/>
  <c r="AT661" i="1"/>
  <c r="AS661" i="1"/>
  <c r="AT660" i="1"/>
  <c r="AS660" i="1"/>
  <c r="AT659" i="1"/>
  <c r="AS659" i="1"/>
  <c r="AR659" i="1"/>
  <c r="AT658" i="1"/>
  <c r="AS658" i="1"/>
  <c r="AT657" i="1"/>
  <c r="AS657" i="1"/>
  <c r="AR657" i="1"/>
  <c r="AT656" i="1"/>
  <c r="AS656" i="1"/>
  <c r="AT655" i="1"/>
  <c r="AS655" i="1"/>
  <c r="AR655" i="1"/>
  <c r="AT654" i="1"/>
  <c r="AS654" i="1"/>
  <c r="AR654" i="1"/>
  <c r="AT653" i="1"/>
  <c r="AS653" i="1"/>
  <c r="AT652" i="1"/>
  <c r="AS652" i="1"/>
  <c r="AR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T643" i="1"/>
  <c r="AS643" i="1"/>
  <c r="AR643" i="1"/>
  <c r="AT642" i="1"/>
  <c r="AS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T636" i="1"/>
  <c r="AS636" i="1"/>
  <c r="AR636" i="1"/>
  <c r="AT635" i="1"/>
  <c r="AS635" i="1"/>
  <c r="AT634" i="1"/>
  <c r="AS634" i="1"/>
  <c r="AT633" i="1"/>
  <c r="AS633" i="1"/>
  <c r="AR633" i="1"/>
  <c r="AT632" i="1"/>
  <c r="AS632" i="1"/>
  <c r="AR632" i="1"/>
  <c r="AT631" i="1"/>
  <c r="AS631" i="1"/>
  <c r="AT630" i="1"/>
  <c r="AS630" i="1"/>
  <c r="AT629" i="1"/>
  <c r="AS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T618" i="1"/>
  <c r="AS618" i="1"/>
  <c r="AR618" i="1"/>
  <c r="AT617" i="1"/>
  <c r="AS617" i="1"/>
  <c r="AR617" i="1"/>
  <c r="AT616" i="1"/>
  <c r="AS616" i="1"/>
  <c r="AR616" i="1"/>
  <c r="AT615" i="1"/>
  <c r="AS615" i="1"/>
  <c r="AT614" i="1"/>
  <c r="AS614" i="1"/>
  <c r="AT613" i="1"/>
  <c r="AS613" i="1"/>
  <c r="AR613" i="1"/>
  <c r="AT612" i="1"/>
  <c r="AS612" i="1"/>
  <c r="AR612" i="1"/>
  <c r="AT611" i="1"/>
  <c r="AS611" i="1"/>
  <c r="AR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T601" i="1"/>
  <c r="AS601" i="1"/>
  <c r="AT600" i="1"/>
  <c r="AS600" i="1"/>
  <c r="AR600" i="1"/>
  <c r="AT599" i="1"/>
  <c r="AS599" i="1"/>
  <c r="AT598" i="1"/>
  <c r="AS598" i="1"/>
  <c r="AR598" i="1"/>
  <c r="AT597" i="1"/>
  <c r="AS597" i="1"/>
  <c r="AT596" i="1"/>
  <c r="AS596" i="1"/>
  <c r="AR596" i="1"/>
  <c r="AT595" i="1"/>
  <c r="AS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T589" i="1"/>
  <c r="AS589" i="1"/>
  <c r="AR589" i="1"/>
  <c r="AT588" i="1"/>
  <c r="AS588" i="1"/>
  <c r="AR588" i="1"/>
  <c r="AT587" i="1"/>
  <c r="AS587" i="1"/>
  <c r="AT586" i="1"/>
  <c r="AS586" i="1"/>
  <c r="AT585" i="1"/>
  <c r="AS585" i="1"/>
  <c r="AT584" i="1"/>
  <c r="AS584" i="1"/>
  <c r="AT583" i="1"/>
  <c r="AS583" i="1"/>
  <c r="AR583" i="1"/>
  <c r="AT582" i="1"/>
  <c r="AS582" i="1"/>
  <c r="AT581" i="1"/>
  <c r="AS581" i="1"/>
  <c r="AR581" i="1"/>
  <c r="AT580" i="1"/>
  <c r="AS580" i="1"/>
  <c r="AR580" i="1"/>
  <c r="AT579" i="1"/>
  <c r="AS579" i="1"/>
  <c r="AT578" i="1"/>
  <c r="AS578" i="1"/>
  <c r="AT577" i="1"/>
  <c r="AS577" i="1"/>
  <c r="AR577" i="1"/>
  <c r="AT576" i="1"/>
  <c r="AS576" i="1"/>
  <c r="AR576" i="1"/>
  <c r="AT575" i="1"/>
  <c r="AS575" i="1"/>
  <c r="AR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T568" i="1"/>
  <c r="AS568" i="1"/>
  <c r="AR568" i="1"/>
  <c r="AT567" i="1"/>
  <c r="AS567" i="1"/>
  <c r="AR567" i="1"/>
  <c r="AT566" i="1"/>
  <c r="AS566" i="1"/>
  <c r="AT565" i="1"/>
  <c r="AS565" i="1"/>
  <c r="AT564" i="1"/>
  <c r="AS564" i="1"/>
  <c r="AR564" i="1"/>
  <c r="AT563" i="1"/>
  <c r="AS563" i="1"/>
  <c r="AR563" i="1"/>
  <c r="AT562" i="1"/>
  <c r="AS562" i="1"/>
  <c r="AR562" i="1"/>
  <c r="AT561" i="1"/>
  <c r="AS561" i="1"/>
  <c r="AT560" i="1"/>
  <c r="AS560" i="1"/>
  <c r="AR560" i="1"/>
  <c r="AT559" i="1"/>
  <c r="AS559" i="1"/>
  <c r="AR559" i="1"/>
  <c r="AT558" i="1"/>
  <c r="AS558" i="1"/>
  <c r="AT557" i="1"/>
  <c r="AS557" i="1"/>
  <c r="AR557" i="1"/>
  <c r="AT556" i="1"/>
  <c r="AS556" i="1"/>
  <c r="AT555" i="1"/>
  <c r="AS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T549" i="1"/>
  <c r="AS549" i="1"/>
  <c r="AT548" i="1"/>
  <c r="AS548" i="1"/>
  <c r="AT547" i="1"/>
  <c r="AS547" i="1"/>
  <c r="AR547" i="1"/>
  <c r="AT546" i="1"/>
  <c r="AS546" i="1"/>
  <c r="AT545" i="1"/>
  <c r="AS545" i="1"/>
  <c r="AR545" i="1"/>
  <c r="AT544" i="1"/>
  <c r="AS544" i="1"/>
  <c r="AT543" i="1"/>
  <c r="AS543" i="1"/>
  <c r="AT542" i="1"/>
  <c r="AS542" i="1"/>
  <c r="AR542" i="1"/>
  <c r="AT541" i="1"/>
  <c r="AS541" i="1"/>
  <c r="AT540" i="1"/>
  <c r="AS540" i="1"/>
  <c r="AR540" i="1"/>
  <c r="AT539" i="1"/>
  <c r="AS539" i="1"/>
  <c r="AT538" i="1"/>
  <c r="AS538" i="1"/>
  <c r="AR538" i="1"/>
  <c r="AT537" i="1"/>
  <c r="AS537" i="1"/>
  <c r="AR537" i="1"/>
  <c r="AT536" i="1"/>
  <c r="AS536" i="1"/>
  <c r="AR536" i="1"/>
  <c r="AT535" i="1"/>
  <c r="AS535" i="1"/>
  <c r="AR535" i="1"/>
  <c r="AT534" i="1"/>
  <c r="AS534" i="1"/>
  <c r="AT533" i="1"/>
  <c r="AS533" i="1"/>
  <c r="AR533" i="1"/>
  <c r="AT532" i="1"/>
  <c r="AS532" i="1"/>
  <c r="AR532" i="1"/>
  <c r="AT531" i="1"/>
  <c r="AS531" i="1"/>
  <c r="AT530" i="1"/>
  <c r="AS530" i="1"/>
  <c r="AT529" i="1"/>
  <c r="AS529" i="1"/>
  <c r="AR529" i="1"/>
  <c r="AT528" i="1"/>
  <c r="AS528" i="1"/>
  <c r="AT527" i="1"/>
  <c r="AS527" i="1"/>
  <c r="AR527" i="1"/>
  <c r="AT526" i="1"/>
  <c r="AS526" i="1"/>
  <c r="AR526" i="1"/>
  <c r="AT525" i="1"/>
  <c r="AS525" i="1"/>
  <c r="AT524" i="1"/>
  <c r="AS524" i="1"/>
  <c r="AR524" i="1"/>
  <c r="AT523" i="1"/>
  <c r="AS523" i="1"/>
  <c r="AT522" i="1"/>
  <c r="AS522" i="1"/>
  <c r="AR522" i="1"/>
  <c r="AT521" i="1"/>
  <c r="AS521" i="1"/>
  <c r="AR521" i="1"/>
  <c r="AT520" i="1"/>
  <c r="AS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R514" i="1"/>
  <c r="AT513" i="1"/>
  <c r="AS513" i="1"/>
  <c r="AR513" i="1"/>
  <c r="AT512" i="1"/>
  <c r="AS512" i="1"/>
  <c r="AT511" i="1"/>
  <c r="AS511" i="1"/>
  <c r="AR511" i="1"/>
  <c r="AT510" i="1"/>
  <c r="AS510" i="1"/>
  <c r="AR510" i="1"/>
  <c r="AT509" i="1"/>
  <c r="AS509" i="1"/>
  <c r="AR509" i="1"/>
  <c r="AT508" i="1"/>
  <c r="AS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T501" i="1"/>
  <c r="AS501" i="1"/>
  <c r="AT500" i="1"/>
  <c r="AS500" i="1"/>
  <c r="AT499" i="1"/>
  <c r="AS499" i="1"/>
  <c r="AT498" i="1"/>
  <c r="AS498" i="1"/>
  <c r="AR498" i="1"/>
  <c r="AT497" i="1"/>
  <c r="AS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T489" i="1"/>
  <c r="AS489" i="1"/>
  <c r="AR489" i="1"/>
  <c r="AT488" i="1"/>
  <c r="AS488" i="1"/>
  <c r="AR488" i="1"/>
  <c r="AT487" i="1"/>
  <c r="AS487" i="1"/>
  <c r="AR487" i="1"/>
  <c r="AT486" i="1"/>
  <c r="AS486" i="1"/>
  <c r="AT485" i="1"/>
  <c r="AS485" i="1"/>
  <c r="AT484" i="1"/>
  <c r="AS484" i="1"/>
  <c r="AR484" i="1"/>
  <c r="AT483" i="1"/>
  <c r="AS483" i="1"/>
  <c r="AR483" i="1"/>
  <c r="AT482" i="1"/>
  <c r="AS482" i="1"/>
  <c r="AR482" i="1"/>
  <c r="AT481" i="1"/>
  <c r="AS481" i="1"/>
  <c r="AR481" i="1"/>
  <c r="AT480" i="1"/>
  <c r="AS480" i="1"/>
  <c r="AT479" i="1"/>
  <c r="AS479" i="1"/>
  <c r="AR479" i="1"/>
  <c r="AT478" i="1"/>
  <c r="AS478" i="1"/>
  <c r="AR478" i="1"/>
  <c r="AT477" i="1"/>
  <c r="AS477" i="1"/>
  <c r="AT476" i="1"/>
  <c r="AS476" i="1"/>
  <c r="AR476" i="1"/>
  <c r="AT475" i="1"/>
  <c r="AS475" i="1"/>
  <c r="AR475" i="1"/>
  <c r="AT474" i="1"/>
  <c r="AS474" i="1"/>
  <c r="AT473" i="1"/>
  <c r="AS473" i="1"/>
  <c r="AR473" i="1"/>
  <c r="AT472" i="1"/>
  <c r="AS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R467" i="1"/>
  <c r="AT466" i="1"/>
  <c r="AS466" i="1"/>
  <c r="AT465" i="1"/>
  <c r="AS465" i="1"/>
  <c r="AR465" i="1"/>
  <c r="AT464" i="1"/>
  <c r="AS464" i="1"/>
  <c r="AR464" i="1"/>
  <c r="AT463" i="1"/>
  <c r="AS463" i="1"/>
  <c r="AT462" i="1"/>
  <c r="AS462" i="1"/>
  <c r="AR462" i="1"/>
  <c r="AT461" i="1"/>
  <c r="AS461" i="1"/>
  <c r="AR461" i="1"/>
  <c r="AT460" i="1"/>
  <c r="AS460" i="1"/>
  <c r="AR460" i="1"/>
  <c r="AT459" i="1"/>
  <c r="AS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T444" i="1"/>
  <c r="AS444" i="1"/>
  <c r="AR444" i="1"/>
  <c r="AT443" i="1"/>
  <c r="AS443" i="1"/>
  <c r="AR443" i="1"/>
  <c r="AT442" i="1"/>
  <c r="AS442" i="1"/>
  <c r="AR442" i="1"/>
  <c r="AT441" i="1"/>
  <c r="AS441" i="1"/>
  <c r="AT440" i="1"/>
  <c r="AS440" i="1"/>
  <c r="AT439" i="1"/>
  <c r="AS439" i="1"/>
  <c r="AR439" i="1"/>
  <c r="AT438" i="1"/>
  <c r="AS438" i="1"/>
  <c r="AR438" i="1"/>
  <c r="AT437" i="1"/>
  <c r="AS437" i="1"/>
  <c r="AR437" i="1"/>
  <c r="AT436" i="1"/>
  <c r="AS436" i="1"/>
  <c r="AT435" i="1"/>
  <c r="AS435" i="1"/>
  <c r="AR435" i="1"/>
  <c r="AT434" i="1"/>
  <c r="AS434" i="1"/>
  <c r="AR434" i="1"/>
  <c r="AT433" i="1"/>
  <c r="AS433" i="1"/>
  <c r="AR433" i="1"/>
  <c r="AT432" i="1"/>
  <c r="AS432" i="1"/>
  <c r="AT431" i="1"/>
  <c r="AS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T424" i="1"/>
  <c r="AS424" i="1"/>
  <c r="AR424" i="1"/>
  <c r="AT423" i="1"/>
  <c r="AS423" i="1"/>
  <c r="AR423" i="1"/>
  <c r="AT422" i="1"/>
  <c r="AS422" i="1"/>
  <c r="AR422" i="1"/>
  <c r="AT421" i="1"/>
  <c r="AS421" i="1"/>
  <c r="AT420" i="1"/>
  <c r="AS420" i="1"/>
  <c r="AR420" i="1"/>
  <c r="AT419" i="1"/>
  <c r="AS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T411" i="1"/>
  <c r="AS411" i="1"/>
  <c r="AR411" i="1"/>
  <c r="AT410" i="1"/>
  <c r="AS410" i="1"/>
  <c r="AR410" i="1"/>
  <c r="AT409" i="1"/>
  <c r="AS409" i="1"/>
  <c r="AR409" i="1"/>
  <c r="AT408" i="1"/>
  <c r="AS408" i="1"/>
  <c r="AT407" i="1"/>
  <c r="AS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T400" i="1"/>
  <c r="AS400" i="1"/>
  <c r="AT399" i="1"/>
  <c r="AS399" i="1"/>
  <c r="AR399" i="1"/>
  <c r="AT398" i="1"/>
  <c r="AS398" i="1"/>
  <c r="AR398" i="1"/>
  <c r="AT397" i="1"/>
  <c r="AS397" i="1"/>
  <c r="AT396" i="1"/>
  <c r="AS396" i="1"/>
  <c r="AR396" i="1"/>
  <c r="AT395" i="1"/>
  <c r="AS395" i="1"/>
  <c r="AT394" i="1"/>
  <c r="AS394" i="1"/>
  <c r="AR394" i="1"/>
  <c r="AT393" i="1"/>
  <c r="AS393" i="1"/>
  <c r="AT392" i="1"/>
  <c r="AS392" i="1"/>
  <c r="AR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T383" i="1"/>
  <c r="AS383" i="1"/>
  <c r="AR383" i="1"/>
  <c r="AT382" i="1"/>
  <c r="AS382" i="1"/>
  <c r="AR382" i="1"/>
  <c r="AT381" i="1"/>
  <c r="AS381" i="1"/>
  <c r="AT380" i="1"/>
  <c r="AS380" i="1"/>
  <c r="AT379" i="1"/>
  <c r="AS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T373" i="1"/>
  <c r="AS373" i="1"/>
  <c r="AR373" i="1"/>
  <c r="AT372" i="1"/>
  <c r="AS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T365" i="1"/>
  <c r="AS365" i="1"/>
  <c r="AT364" i="1"/>
  <c r="AS364" i="1"/>
  <c r="AR364" i="1"/>
  <c r="AT363" i="1"/>
  <c r="AS363" i="1"/>
  <c r="AR363" i="1"/>
  <c r="AT362" i="1"/>
  <c r="AS362" i="1"/>
  <c r="AR362" i="1"/>
  <c r="AT361" i="1"/>
  <c r="AS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R352" i="1"/>
  <c r="AT351" i="1"/>
  <c r="AS351" i="1"/>
  <c r="AT350" i="1"/>
  <c r="AS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T342" i="1"/>
  <c r="AS342" i="1"/>
  <c r="AR342" i="1"/>
  <c r="AT341" i="1"/>
  <c r="AS341" i="1"/>
  <c r="AR341" i="1"/>
  <c r="AT340" i="1"/>
  <c r="AS340" i="1"/>
  <c r="AR340" i="1"/>
  <c r="AT339" i="1"/>
  <c r="AS339" i="1"/>
  <c r="AT338" i="1"/>
  <c r="AS338" i="1"/>
  <c r="AT337" i="1"/>
  <c r="AS337" i="1"/>
  <c r="AR337" i="1"/>
  <c r="AT336" i="1"/>
  <c r="AS336" i="1"/>
  <c r="AR336" i="1"/>
  <c r="AT335" i="1"/>
  <c r="AS335" i="1"/>
  <c r="AT334" i="1"/>
  <c r="AS334" i="1"/>
  <c r="AR334" i="1"/>
  <c r="AT333" i="1"/>
  <c r="AS333" i="1"/>
  <c r="AT332" i="1"/>
  <c r="AS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R322" i="1"/>
  <c r="AT321" i="1"/>
  <c r="AS321" i="1"/>
  <c r="AT320" i="1"/>
  <c r="AS320" i="1"/>
  <c r="AR320" i="1"/>
  <c r="AT319" i="1"/>
  <c r="AS319" i="1"/>
  <c r="AR319" i="1"/>
  <c r="AT318" i="1"/>
  <c r="AS318" i="1"/>
  <c r="AR318" i="1"/>
  <c r="AT317" i="1"/>
  <c r="AS317" i="1"/>
  <c r="AR317" i="1"/>
  <c r="AT316" i="1"/>
  <c r="AS316" i="1"/>
  <c r="AT315" i="1"/>
  <c r="AS315" i="1"/>
  <c r="AT314" i="1"/>
  <c r="AS314" i="1"/>
  <c r="AT313" i="1"/>
  <c r="AS313" i="1"/>
  <c r="AR313" i="1"/>
  <c r="AT312" i="1"/>
  <c r="AS312" i="1"/>
  <c r="AT311" i="1"/>
  <c r="AS311" i="1"/>
  <c r="AR311" i="1"/>
  <c r="AT310" i="1"/>
  <c r="AS310" i="1"/>
  <c r="AR310" i="1"/>
  <c r="AT309" i="1"/>
  <c r="AS309" i="1"/>
  <c r="AT308" i="1"/>
  <c r="AS308" i="1"/>
  <c r="AR308" i="1"/>
  <c r="AT307" i="1"/>
  <c r="AS307" i="1"/>
  <c r="AT306" i="1"/>
  <c r="AS306" i="1"/>
  <c r="AR306" i="1"/>
  <c r="AT305" i="1"/>
  <c r="AS305" i="1"/>
  <c r="AT304" i="1"/>
  <c r="AS304" i="1"/>
  <c r="AR304" i="1"/>
  <c r="AT303" i="1"/>
  <c r="AS303" i="1"/>
  <c r="AT302" i="1"/>
  <c r="AS302" i="1"/>
  <c r="AT301" i="1"/>
  <c r="AS301" i="1"/>
  <c r="AT300" i="1"/>
  <c r="AS300" i="1"/>
  <c r="AR300" i="1"/>
  <c r="AT299" i="1"/>
  <c r="AS299" i="1"/>
  <c r="AT298" i="1"/>
  <c r="AS298" i="1"/>
  <c r="AT297" i="1"/>
  <c r="AS297" i="1"/>
  <c r="AR297" i="1"/>
  <c r="AT296" i="1"/>
  <c r="AS296" i="1"/>
  <c r="AR296" i="1"/>
  <c r="AT295" i="1"/>
  <c r="AS295" i="1"/>
  <c r="AR295" i="1"/>
  <c r="AT294" i="1"/>
  <c r="AS294" i="1"/>
  <c r="AR294" i="1"/>
  <c r="AT293" i="1"/>
  <c r="AS293" i="1"/>
  <c r="AT292" i="1"/>
  <c r="AS292" i="1"/>
  <c r="AR292" i="1"/>
  <c r="AT291" i="1"/>
  <c r="AS291" i="1"/>
  <c r="AR291" i="1"/>
  <c r="AT290" i="1"/>
  <c r="AS290" i="1"/>
  <c r="AR290" i="1"/>
  <c r="AT289" i="1"/>
  <c r="AS289" i="1"/>
  <c r="AR289" i="1"/>
  <c r="AT288" i="1"/>
  <c r="AS288" i="1"/>
  <c r="AR288" i="1"/>
  <c r="AT287" i="1"/>
  <c r="AS287" i="1"/>
  <c r="AR287" i="1"/>
  <c r="AT286" i="1"/>
  <c r="AS286" i="1"/>
  <c r="AR286" i="1"/>
  <c r="AT285" i="1"/>
  <c r="AS285" i="1"/>
  <c r="AT284" i="1"/>
  <c r="AS284" i="1"/>
  <c r="AR284" i="1"/>
  <c r="AT283" i="1"/>
  <c r="AS283" i="1"/>
  <c r="AR283" i="1"/>
  <c r="AT282" i="1"/>
  <c r="AS282" i="1"/>
  <c r="AR282" i="1"/>
  <c r="AT281" i="1"/>
  <c r="AS281" i="1"/>
  <c r="AT280" i="1"/>
  <c r="AS280" i="1"/>
  <c r="AR280" i="1"/>
  <c r="AT279" i="1"/>
  <c r="AS279" i="1"/>
  <c r="AR279" i="1"/>
  <c r="AT278" i="1"/>
  <c r="AS278" i="1"/>
  <c r="AT277" i="1"/>
  <c r="AS277" i="1"/>
  <c r="AR277" i="1"/>
  <c r="AT276" i="1"/>
  <c r="AS276" i="1"/>
  <c r="AR276" i="1"/>
  <c r="AT275" i="1"/>
  <c r="AS275" i="1"/>
  <c r="AT274" i="1"/>
  <c r="AS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R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R262" i="1"/>
  <c r="AT261" i="1"/>
  <c r="AS261" i="1"/>
  <c r="AT260" i="1"/>
  <c r="AS260" i="1"/>
  <c r="AR260" i="1"/>
  <c r="AT259" i="1"/>
  <c r="AS259" i="1"/>
  <c r="AR259" i="1"/>
  <c r="AT258" i="1"/>
  <c r="AS258" i="1"/>
  <c r="AR258" i="1"/>
  <c r="AT257" i="1"/>
  <c r="AS257" i="1"/>
  <c r="AT256" i="1"/>
  <c r="AS256" i="1"/>
  <c r="AT255" i="1"/>
  <c r="AS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T249" i="1"/>
  <c r="AS249" i="1"/>
  <c r="AT248" i="1"/>
  <c r="AS248" i="1"/>
  <c r="AR248" i="1"/>
  <c r="AT247" i="1"/>
  <c r="AS247" i="1"/>
  <c r="AT246" i="1"/>
  <c r="AS246" i="1"/>
  <c r="AR246" i="1"/>
  <c r="AT245" i="1"/>
  <c r="AS245" i="1"/>
  <c r="AR245" i="1"/>
  <c r="AT244" i="1"/>
  <c r="AS244" i="1"/>
  <c r="AR244" i="1"/>
  <c r="AT243" i="1"/>
  <c r="AS243" i="1"/>
  <c r="AR243" i="1"/>
  <c r="AT242" i="1"/>
  <c r="AS242" i="1"/>
  <c r="AR242" i="1"/>
  <c r="AT241" i="1"/>
  <c r="AS241" i="1"/>
  <c r="AT240" i="1"/>
  <c r="AS240" i="1"/>
  <c r="AT239" i="1"/>
  <c r="AS239" i="1"/>
  <c r="AR239" i="1"/>
  <c r="AT238" i="1"/>
  <c r="AS238" i="1"/>
  <c r="AT237" i="1"/>
  <c r="AS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R231" i="1"/>
  <c r="AT230" i="1"/>
  <c r="AS230" i="1"/>
  <c r="AR230" i="1"/>
  <c r="AT229" i="1"/>
  <c r="AS229" i="1"/>
  <c r="AT228" i="1"/>
  <c r="AS228" i="1"/>
  <c r="AT227" i="1"/>
  <c r="AS227" i="1"/>
  <c r="AT226" i="1"/>
  <c r="AS226" i="1"/>
  <c r="AR226" i="1"/>
  <c r="AT225" i="1"/>
  <c r="AS225" i="1"/>
  <c r="AT224" i="1"/>
  <c r="AS224" i="1"/>
  <c r="AT223" i="1"/>
  <c r="AS223" i="1"/>
  <c r="AT222" i="1"/>
  <c r="AS222" i="1"/>
  <c r="AT221" i="1"/>
  <c r="AS221" i="1"/>
  <c r="AT220" i="1"/>
  <c r="AS220" i="1"/>
  <c r="AT219" i="1"/>
  <c r="AS219" i="1"/>
  <c r="AR219" i="1"/>
  <c r="AT218" i="1"/>
  <c r="AS218" i="1"/>
  <c r="AT217" i="1"/>
  <c r="AS217" i="1"/>
  <c r="AR217" i="1"/>
  <c r="AT216" i="1"/>
  <c r="AS216" i="1"/>
  <c r="AR216" i="1"/>
  <c r="AT215" i="1"/>
  <c r="AS215" i="1"/>
  <c r="AR215" i="1"/>
  <c r="AT214" i="1"/>
  <c r="AS214" i="1"/>
  <c r="AT213" i="1"/>
  <c r="AS213" i="1"/>
  <c r="AR213" i="1"/>
  <c r="AT212" i="1"/>
  <c r="AS212" i="1"/>
  <c r="AT211" i="1"/>
  <c r="AS211" i="1"/>
  <c r="AT210" i="1"/>
  <c r="AS210" i="1"/>
  <c r="AR210" i="1"/>
  <c r="AT209" i="1"/>
  <c r="AS209" i="1"/>
  <c r="AR209" i="1"/>
  <c r="AT208" i="1"/>
  <c r="AS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T202" i="1"/>
  <c r="AS202" i="1"/>
  <c r="AT201" i="1"/>
  <c r="AS201" i="1"/>
  <c r="AR201" i="1"/>
  <c r="AT200" i="1"/>
  <c r="AS200" i="1"/>
  <c r="AT199" i="1"/>
  <c r="AS199" i="1"/>
  <c r="AT198" i="1"/>
  <c r="AS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T186" i="1"/>
  <c r="AS186" i="1"/>
  <c r="AT185" i="1"/>
  <c r="AS185" i="1"/>
  <c r="AT184" i="1"/>
  <c r="AS184" i="1"/>
  <c r="AR184" i="1"/>
  <c r="AT183" i="1"/>
  <c r="AS183" i="1"/>
  <c r="AT182" i="1"/>
  <c r="AS182" i="1"/>
  <c r="AT181" i="1"/>
  <c r="AS181" i="1"/>
  <c r="AT180" i="1"/>
  <c r="AS180" i="1"/>
  <c r="AT179" i="1"/>
  <c r="AS179" i="1"/>
  <c r="AT178" i="1"/>
  <c r="AS178" i="1"/>
  <c r="AR178" i="1"/>
  <c r="AT177" i="1"/>
  <c r="AS177" i="1"/>
  <c r="AT176" i="1"/>
  <c r="AS176" i="1"/>
  <c r="AT175" i="1"/>
  <c r="AS175" i="1"/>
  <c r="AR175" i="1"/>
  <c r="AT174" i="1"/>
  <c r="AS174" i="1"/>
  <c r="AT173" i="1"/>
  <c r="AS173" i="1"/>
  <c r="AT172" i="1"/>
  <c r="AS172" i="1"/>
  <c r="AT171" i="1"/>
  <c r="AS171" i="1"/>
  <c r="AT170" i="1"/>
  <c r="AS170" i="1"/>
  <c r="AR170" i="1"/>
  <c r="AT169" i="1"/>
  <c r="AS169" i="1"/>
  <c r="AT168" i="1"/>
  <c r="AS168" i="1"/>
  <c r="AT167" i="1"/>
  <c r="AS167" i="1"/>
  <c r="AR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T160" i="1"/>
  <c r="AS160" i="1"/>
  <c r="AT159" i="1"/>
  <c r="AS159" i="1"/>
  <c r="AR159" i="1"/>
  <c r="AT158" i="1"/>
  <c r="AS158" i="1"/>
  <c r="AT157" i="1"/>
  <c r="AS157" i="1"/>
  <c r="AT156" i="1"/>
  <c r="AS156" i="1"/>
  <c r="AR156" i="1"/>
  <c r="AT155" i="1"/>
  <c r="AS155" i="1"/>
  <c r="AT154" i="1"/>
  <c r="AS154" i="1"/>
  <c r="AR154" i="1"/>
  <c r="AT153" i="1"/>
  <c r="AS153" i="1"/>
  <c r="AR153" i="1"/>
  <c r="AT152" i="1"/>
  <c r="AS152" i="1"/>
  <c r="AT151" i="1"/>
  <c r="AS151" i="1"/>
  <c r="AR151" i="1"/>
  <c r="AT150" i="1"/>
  <c r="AS150" i="1"/>
  <c r="AR150" i="1"/>
  <c r="AT149" i="1"/>
  <c r="AS149" i="1"/>
  <c r="AR149" i="1"/>
  <c r="AT148" i="1"/>
  <c r="AS148" i="1"/>
  <c r="AT147" i="1"/>
  <c r="AS147" i="1"/>
  <c r="AR147" i="1"/>
  <c r="AT146" i="1"/>
  <c r="AS146" i="1"/>
  <c r="AR146" i="1"/>
  <c r="AT145" i="1"/>
  <c r="AS145" i="1"/>
  <c r="AT144" i="1"/>
  <c r="AS144" i="1"/>
  <c r="AR144" i="1"/>
  <c r="AT143" i="1"/>
  <c r="AS143" i="1"/>
  <c r="AT142" i="1"/>
  <c r="AS142" i="1"/>
  <c r="AT141" i="1"/>
  <c r="AS141" i="1"/>
  <c r="AR141" i="1"/>
  <c r="AT140" i="1"/>
  <c r="AS140" i="1"/>
  <c r="AR140" i="1"/>
  <c r="AT139" i="1"/>
  <c r="AS139" i="1"/>
  <c r="AR139" i="1"/>
  <c r="AT138" i="1"/>
  <c r="AS138" i="1"/>
  <c r="AT137" i="1"/>
  <c r="AS137" i="1"/>
  <c r="AR137" i="1"/>
  <c r="AT136" i="1"/>
  <c r="AS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T128" i="1"/>
  <c r="AS128" i="1"/>
  <c r="AR128" i="1"/>
  <c r="AT127" i="1"/>
  <c r="AS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T114" i="1"/>
  <c r="AS114" i="1"/>
  <c r="AR114" i="1"/>
  <c r="AT113" i="1"/>
  <c r="AS113" i="1"/>
  <c r="AR113" i="1"/>
  <c r="AT112" i="1"/>
  <c r="AS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T105" i="1"/>
  <c r="AS105" i="1"/>
  <c r="AR105" i="1"/>
  <c r="AT104" i="1"/>
  <c r="AS104" i="1"/>
  <c r="AR104" i="1"/>
  <c r="AT103" i="1"/>
  <c r="AS103" i="1"/>
  <c r="AT102" i="1"/>
  <c r="AS102" i="1"/>
  <c r="AT101" i="1"/>
  <c r="AS101" i="1"/>
  <c r="AT100" i="1"/>
  <c r="AS100" i="1"/>
  <c r="AT99" i="1"/>
  <c r="AS99" i="1"/>
  <c r="AT98" i="1"/>
  <c r="AS98" i="1"/>
  <c r="AT97" i="1"/>
  <c r="AS97" i="1"/>
  <c r="AR97" i="1"/>
  <c r="AT96" i="1"/>
  <c r="AS96" i="1"/>
  <c r="AR96" i="1"/>
  <c r="AT95" i="1"/>
  <c r="AS95" i="1"/>
  <c r="AT94" i="1"/>
  <c r="AS94" i="1"/>
  <c r="AT93" i="1"/>
  <c r="AS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AT83" i="1"/>
  <c r="AS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T74" i="1"/>
  <c r="AS74" i="1"/>
  <c r="AR74" i="1"/>
  <c r="AT73" i="1"/>
  <c r="AS73" i="1"/>
  <c r="AR73" i="1"/>
  <c r="AT72" i="1"/>
  <c r="AS72" i="1"/>
  <c r="AR72" i="1"/>
  <c r="AT71" i="1"/>
  <c r="AS71" i="1"/>
  <c r="AT70" i="1"/>
  <c r="AS70" i="1"/>
  <c r="AT69" i="1"/>
  <c r="AS69" i="1"/>
  <c r="AT68" i="1"/>
  <c r="AS68" i="1"/>
  <c r="AR68" i="1"/>
  <c r="AT67" i="1"/>
  <c r="AS67" i="1"/>
  <c r="AR67" i="1"/>
  <c r="AT66" i="1"/>
  <c r="AS66" i="1"/>
  <c r="AT65" i="1"/>
  <c r="AS65" i="1"/>
  <c r="AR65" i="1"/>
  <c r="AT64" i="1"/>
  <c r="AS64" i="1"/>
  <c r="AR64" i="1"/>
  <c r="AT63" i="1"/>
  <c r="AS63" i="1"/>
  <c r="AR63" i="1"/>
  <c r="AT62" i="1"/>
  <c r="AS62" i="1"/>
  <c r="AT61" i="1"/>
  <c r="AS61" i="1"/>
  <c r="AT60" i="1"/>
  <c r="AS60" i="1"/>
  <c r="AR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T42" i="1"/>
  <c r="AS42" i="1"/>
  <c r="AR42" i="1"/>
  <c r="AT41" i="1"/>
  <c r="AS41" i="1"/>
  <c r="AR41" i="1"/>
  <c r="AT40" i="1"/>
  <c r="AS40" i="1"/>
  <c r="AT39" i="1"/>
  <c r="AS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R19" i="1"/>
  <c r="AT18" i="1"/>
  <c r="AS18" i="1"/>
  <c r="AT17" i="1"/>
  <c r="AS17" i="1"/>
  <c r="AT16" i="1"/>
  <c r="AS16" i="1"/>
  <c r="AT15" i="1"/>
  <c r="AS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T9" i="1"/>
  <c r="AS9" i="1"/>
  <c r="AT8" i="1"/>
  <c r="AS8" i="1"/>
  <c r="AT7" i="1"/>
  <c r="AS7" i="1"/>
  <c r="AR7" i="1"/>
  <c r="AT6" i="1"/>
  <c r="AS6" i="1"/>
  <c r="AT5" i="1"/>
  <c r="AS5" i="1"/>
  <c r="AR5" i="1"/>
  <c r="AT4" i="1"/>
  <c r="AS4" i="1"/>
  <c r="AT3" i="1"/>
  <c r="AS3" i="1"/>
  <c r="AT2" i="1"/>
  <c r="AS2" i="1"/>
</calcChain>
</file>

<file path=xl/sharedStrings.xml><?xml version="1.0" encoding="utf-8"?>
<sst xmlns="http://schemas.openxmlformats.org/spreadsheetml/2006/main" count="17136" uniqueCount="5217">
  <si>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</si>
  <si>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</si>
  <si>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</si>
  <si>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</si>
  <si>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</si>
  <si>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</si>
  <si>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</si>
  <si>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</si>
  <si>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</si>
  <si>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</si>
  <si>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</si>
  <si>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</si>
  <si>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</si>
  <si>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</si>
  <si>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</si>
  <si>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</si>
  <si>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</si>
  <si>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</si>
  <si>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</si>
  <si>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</si>
  <si>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</si>
  <si>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</si>
  <si>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</si>
  <si>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</si>
  <si>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</si>
  <si>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</si>
  <si>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</si>
  <si>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 xml:space="preserve">Nebraska Holdings 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</si>
  <si>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</si>
  <si>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</si>
  <si>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</si>
  <si>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</si>
  <si>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</si>
  <si>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</si>
  <si>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</si>
  <si>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</si>
  <si>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</si>
  <si>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</si>
  <si>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</si>
  <si>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</si>
  <si>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</si>
  <si>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</si>
  <si>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</si>
  <si>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</si>
  <si>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</si>
  <si>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</si>
  <si>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</si>
  <si>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</si>
  <si>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</si>
  <si>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</si>
  <si>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</si>
  <si>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</si>
  <si>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</si>
  <si>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</si>
  <si>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</si>
  <si>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RM122.5 .T45 1965a</t>
  </si>
  <si>
    <t>0                      RM 0122500T  45          1965a</t>
  </si>
  <si>
    <t>Grannies' remedies.</t>
  </si>
  <si>
    <t>No</t>
  </si>
  <si>
    <t>1</t>
  </si>
  <si>
    <t>0</t>
  </si>
  <si>
    <t>Thomas, Mai.</t>
  </si>
  <si>
    <t>New York : Gramercy Pub. Co. ; [1965]</t>
  </si>
  <si>
    <t>1965</t>
  </si>
  <si>
    <t>eng</t>
  </si>
  <si>
    <t>nyu</t>
  </si>
  <si>
    <t xml:space="preserve">RM </t>
  </si>
  <si>
    <t>2000-08-30</t>
  </si>
  <si>
    <t>2000-08-24</t>
  </si>
  <si>
    <t>2160026:eng</t>
  </si>
  <si>
    <t>1197712</t>
  </si>
  <si>
    <t>991003272899702656</t>
  </si>
  <si>
    <t>2268718680002656</t>
  </si>
  <si>
    <t>BOOK</t>
  </si>
  <si>
    <t>32285003770178</t>
  </si>
  <si>
    <t>893780792</t>
  </si>
  <si>
    <t>RM146.5 .G67 1980</t>
  </si>
  <si>
    <t>0                      RM 0146500G  67          1980</t>
  </si>
  <si>
    <t>I'm dancing as fast as I can / Barbara Gordon.</t>
  </si>
  <si>
    <t>Gordon, Barbara, 1935-</t>
  </si>
  <si>
    <t>New York : Bantam Books, 1980, c1979.</t>
  </si>
  <si>
    <t>1980</t>
  </si>
  <si>
    <t>2001-07-16</t>
  </si>
  <si>
    <t>402299:eng</t>
  </si>
  <si>
    <t>6283045</t>
  </si>
  <si>
    <t>991003570169702656</t>
  </si>
  <si>
    <t>2263683170002656</t>
  </si>
  <si>
    <t>9780553134100</t>
  </si>
  <si>
    <t>32285004332895</t>
  </si>
  <si>
    <t>893805930</t>
  </si>
  <si>
    <t>RM146.5 .M64 2001</t>
  </si>
  <si>
    <t>0                      RM 0146500M  64          2001</t>
  </si>
  <si>
    <t>Swallowing a bitter pill : how prescription and over-the-counter drug abuse is ruining lives : my story / Cindy R. Mogil.</t>
  </si>
  <si>
    <t>Mogil, Cindy R.</t>
  </si>
  <si>
    <t>Far Hills, N.J. : New Horizon Press, c2001.</t>
  </si>
  <si>
    <t>2001</t>
  </si>
  <si>
    <t>nju</t>
  </si>
  <si>
    <t>2007-10-08</t>
  </si>
  <si>
    <t>2002-11-18</t>
  </si>
  <si>
    <t>11714113:eng</t>
  </si>
  <si>
    <t>48380776</t>
  </si>
  <si>
    <t>991003933769702656</t>
  </si>
  <si>
    <t>2269663340002656</t>
  </si>
  <si>
    <t>9780882822112</t>
  </si>
  <si>
    <t>32285004663638</t>
  </si>
  <si>
    <t>893519054</t>
  </si>
  <si>
    <t>RM184 .C573</t>
  </si>
  <si>
    <t>0                      RM 0184000C  573</t>
  </si>
  <si>
    <t>An outline of Chinese acupuncture / the Academy of Traditional Chinese Medicine.</t>
  </si>
  <si>
    <t>Zhong yi yan jiu yuan (Beijing, China)</t>
  </si>
  <si>
    <t>Oxford [Eng.] ; New York : Pergamon Press, c1975.</t>
  </si>
  <si>
    <t>1975</t>
  </si>
  <si>
    <t>enk</t>
  </si>
  <si>
    <t>2007-02-12</t>
  </si>
  <si>
    <t>1996-02-01</t>
  </si>
  <si>
    <t>Yes</t>
  </si>
  <si>
    <t>30997045:eng</t>
  </si>
  <si>
    <t>3294488</t>
  </si>
  <si>
    <t>991004399589702656</t>
  </si>
  <si>
    <t>2257153060002656</t>
  </si>
  <si>
    <t>9780080215457</t>
  </si>
  <si>
    <t>32285002120565</t>
  </si>
  <si>
    <t>893253647</t>
  </si>
  <si>
    <t>RM184 .L8136</t>
  </si>
  <si>
    <t>0                      RM 0184000L  8136</t>
  </si>
  <si>
    <t>Celestial lancets : a history and rationale of acupuncture and moxa / by Lu Gwei-djen and Joseph Needham.</t>
  </si>
  <si>
    <t>Lu, Gwei-Djen.</t>
  </si>
  <si>
    <t>Cambridge ; New York : Cambridge University Press, 1980.</t>
  </si>
  <si>
    <t>2006-04-12</t>
  </si>
  <si>
    <t>1992-03-13</t>
  </si>
  <si>
    <t>503711:eng</t>
  </si>
  <si>
    <t>6900543</t>
  </si>
  <si>
    <t>991005056639702656</t>
  </si>
  <si>
    <t>2263623180002656</t>
  </si>
  <si>
    <t>9780521215138</t>
  </si>
  <si>
    <t>32285001020113</t>
  </si>
  <si>
    <t>893688524</t>
  </si>
  <si>
    <t>RM214.3 .H65 1991</t>
  </si>
  <si>
    <t>0                      RM 0214300H  65          1991</t>
  </si>
  <si>
    <t>Communication and education skills : the dietitian's guide / Betsy B. Holli, Richard J. Calabrese.</t>
  </si>
  <si>
    <t>Holli, Betsy B.</t>
  </si>
  <si>
    <t>Philadelphia : Lea &amp; Febiger, 1991.</t>
  </si>
  <si>
    <t>1991</t>
  </si>
  <si>
    <t>2nd ed.</t>
  </si>
  <si>
    <t>pau</t>
  </si>
  <si>
    <t>1996-11-05</t>
  </si>
  <si>
    <t>1991-05-13</t>
  </si>
  <si>
    <t>6849602:eng</t>
  </si>
  <si>
    <t>22624094</t>
  </si>
  <si>
    <t>991001797589702656</t>
  </si>
  <si>
    <t>2271393190002656</t>
  </si>
  <si>
    <t>9780812113860</t>
  </si>
  <si>
    <t>32285000572270</t>
  </si>
  <si>
    <t>893772916</t>
  </si>
  <si>
    <t>RM216 .K57</t>
  </si>
  <si>
    <t>0                      RM 0216000K  57</t>
  </si>
  <si>
    <t>Eat well &amp; stay well / by Ancel and Margaret Keys. Foreword by Paul Dudley White.</t>
  </si>
  <si>
    <t>Keys, Ancel, 1904-2004.</t>
  </si>
  <si>
    <t>Garden City, N.Y. : Doubleday, 1959.</t>
  </si>
  <si>
    <t>1959</t>
  </si>
  <si>
    <t>2008-04-16</t>
  </si>
  <si>
    <t>1992-04-15</t>
  </si>
  <si>
    <t>104800964:eng</t>
  </si>
  <si>
    <t>690072</t>
  </si>
  <si>
    <t>991003150759702656</t>
  </si>
  <si>
    <t>2260629590002656</t>
  </si>
  <si>
    <t>32285001061380</t>
  </si>
  <si>
    <t>893893430</t>
  </si>
  <si>
    <t>RM216 .R833 1995</t>
  </si>
  <si>
    <t>0                      RM 0216000R  833         1995</t>
  </si>
  <si>
    <t>Doctor, what should I eat? : nutrition prescriptions for ailments in which diet can really make a difference / Isadore Rosenfeld.</t>
  </si>
  <si>
    <t>Rosenfeld, Isadore.</t>
  </si>
  <si>
    <t>New York : Random House, 1995.</t>
  </si>
  <si>
    <t>1995</t>
  </si>
  <si>
    <t>1st ed.</t>
  </si>
  <si>
    <t>1998-03-31</t>
  </si>
  <si>
    <t>1995-02-13</t>
  </si>
  <si>
    <t>6495257:eng</t>
  </si>
  <si>
    <t>30025880</t>
  </si>
  <si>
    <t>991002311629702656</t>
  </si>
  <si>
    <t>2261868470002656</t>
  </si>
  <si>
    <t>9780679428183</t>
  </si>
  <si>
    <t>32285001998268</t>
  </si>
  <si>
    <t>893504270</t>
  </si>
  <si>
    <t>RM216 .S725 1992</t>
  </si>
  <si>
    <t>0                      RM 0216000S  725         1992</t>
  </si>
  <si>
    <t>Nutrition and diet therapy : self-instructional modules / Peggy S. Stanfield ; with the special assistance of Y.H. Hui.</t>
  </si>
  <si>
    <t>Stanfield, Peggy.</t>
  </si>
  <si>
    <t>Boston : Jones and Bartlett, c1992.</t>
  </si>
  <si>
    <t>1992</t>
  </si>
  <si>
    <t>mau</t>
  </si>
  <si>
    <t>The Jones and Bartlett series in health sciences</t>
  </si>
  <si>
    <t>2002-09-06</t>
  </si>
  <si>
    <t>1995-05-31</t>
  </si>
  <si>
    <t>758282:eng</t>
  </si>
  <si>
    <t>25131614</t>
  </si>
  <si>
    <t>991001981099702656</t>
  </si>
  <si>
    <t>2271173410002656</t>
  </si>
  <si>
    <t>9780867203363</t>
  </si>
  <si>
    <t>32285002047594</t>
  </si>
  <si>
    <t>893609326</t>
  </si>
  <si>
    <t>RM218 .S4</t>
  </si>
  <si>
    <t>0                      RM 0218000S  4</t>
  </si>
  <si>
    <t>Clinical studies in nutrition.</t>
  </si>
  <si>
    <t>Sense, Eleanora.</t>
  </si>
  <si>
    <t>Philadelphia, Lippincott [1960]</t>
  </si>
  <si>
    <t>1960</t>
  </si>
  <si>
    <t>2006-11-27</t>
  </si>
  <si>
    <t>1997-11-05</t>
  </si>
  <si>
    <t>2252171:eng</t>
  </si>
  <si>
    <t>1355376</t>
  </si>
  <si>
    <t>991003713009702656</t>
  </si>
  <si>
    <t>2272427340002656</t>
  </si>
  <si>
    <t>32285003276598</t>
  </si>
  <si>
    <t>893349046</t>
  </si>
  <si>
    <t>RM219 .M325 1971</t>
  </si>
  <si>
    <t>0                      RM 0219000M  325         1971</t>
  </si>
  <si>
    <t>Mayo Clinic diet manual.</t>
  </si>
  <si>
    <t>Mayo Clinic. Committee on Dietetics.</t>
  </si>
  <si>
    <t>Philadelphia : Saunders, 1971.</t>
  </si>
  <si>
    <t>1971</t>
  </si>
  <si>
    <t>4th ed.</t>
  </si>
  <si>
    <t>1995-08-03</t>
  </si>
  <si>
    <t>1230623:eng</t>
  </si>
  <si>
    <t>114441</t>
  </si>
  <si>
    <t>991005264249702656</t>
  </si>
  <si>
    <t>2259901730002656</t>
  </si>
  <si>
    <t>9780721662114</t>
  </si>
  <si>
    <t>32285002061785</t>
  </si>
  <si>
    <t>893443684</t>
  </si>
  <si>
    <t>RM222.2 .B39 1978</t>
  </si>
  <si>
    <t>0                      RM 0222200B  39          1978</t>
  </si>
  <si>
    <t>The thin game / by Edwin Bayrd ; in consultation with Clifford F. Gastineau and Edwin Bayrd.</t>
  </si>
  <si>
    <t>Bayrd, Ned.</t>
  </si>
  <si>
    <t>New York : Newsweek Books, c1978.</t>
  </si>
  <si>
    <t>1978</t>
  </si>
  <si>
    <t>2010-11-28</t>
  </si>
  <si>
    <t>1990-03-20</t>
  </si>
  <si>
    <t>4494915784:eng</t>
  </si>
  <si>
    <t>3559594</t>
  </si>
  <si>
    <t>991004464259702656</t>
  </si>
  <si>
    <t>2264194300002656</t>
  </si>
  <si>
    <t>9780882252551</t>
  </si>
  <si>
    <t>32285000088640</t>
  </si>
  <si>
    <t>893882500</t>
  </si>
  <si>
    <t>RM222.2 .B46</t>
  </si>
  <si>
    <t>0                      RM 0222200B  46</t>
  </si>
  <si>
    <t>Diet book.</t>
  </si>
  <si>
    <t>Better homes and gardens.</t>
  </si>
  <si>
    <t>Des Moines : Meredith Pub. Co., 1955.</t>
  </si>
  <si>
    <t>1955</t>
  </si>
  <si>
    <t>___</t>
  </si>
  <si>
    <t>2006-04-11</t>
  </si>
  <si>
    <t>1992-02-26</t>
  </si>
  <si>
    <t>1806381209:eng</t>
  </si>
  <si>
    <t>1435990</t>
  </si>
  <si>
    <t>991003755789702656</t>
  </si>
  <si>
    <t>2270518950002656</t>
  </si>
  <si>
    <t>32285000978188</t>
  </si>
  <si>
    <t>893699366</t>
  </si>
  <si>
    <t>RM222.2 .B47 1980</t>
  </si>
  <si>
    <t>0                      RM 0222200B  47          1980</t>
  </si>
  <si>
    <t>Rating the diets / by the editors of Consumer Guide® and Theodore Berland.</t>
  </si>
  <si>
    <t>Berland, Theodore, 1929-</t>
  </si>
  <si>
    <t>New York : Beekman House, 1980.</t>
  </si>
  <si>
    <t xml:space="preserve">xx </t>
  </si>
  <si>
    <t>498203:eng</t>
  </si>
  <si>
    <t>6828069</t>
  </si>
  <si>
    <t>991005045629702656</t>
  </si>
  <si>
    <t>2266875280002656</t>
  </si>
  <si>
    <t>32285000088657</t>
  </si>
  <si>
    <t>893795529</t>
  </si>
  <si>
    <t>RM222.2 .B785 1980</t>
  </si>
  <si>
    <t>0                      RM 0222200B  785         1980</t>
  </si>
  <si>
    <t>The partnership diet program : the do-it-together pounds-off program that doesn't feel like a diet / Kelly D. Brownell, with Irene Copeland.</t>
  </si>
  <si>
    <t>Brownell, Kelly D.</t>
  </si>
  <si>
    <t>New York : Rawson, Wade, c1980.</t>
  </si>
  <si>
    <t>2004-03-30</t>
  </si>
  <si>
    <t>17876734:eng</t>
  </si>
  <si>
    <t>5336732</t>
  </si>
  <si>
    <t>991004822149702656</t>
  </si>
  <si>
    <t>2265356470002656</t>
  </si>
  <si>
    <t>9780892561032</t>
  </si>
  <si>
    <t>32285000978170</t>
  </si>
  <si>
    <t>893719418</t>
  </si>
  <si>
    <t>RM222.2 .E278 1988</t>
  </si>
  <si>
    <t>0                      RM 0222200E  278         1988</t>
  </si>
  <si>
    <t>Weight loss to super wellness / Ted L. Edwards, Jr.</t>
  </si>
  <si>
    <t>Edwards, Ted L.</t>
  </si>
  <si>
    <t>Champaign, Ill. : Life Enhancement Publications, c1988.</t>
  </si>
  <si>
    <t>1988</t>
  </si>
  <si>
    <t>ilu</t>
  </si>
  <si>
    <t>2008-02-21</t>
  </si>
  <si>
    <t>1992-02-27</t>
  </si>
  <si>
    <t>13222482:eng</t>
  </si>
  <si>
    <t>17107398</t>
  </si>
  <si>
    <t>991001180049702656</t>
  </si>
  <si>
    <t>2257762790002656</t>
  </si>
  <si>
    <t>9780873229241</t>
  </si>
  <si>
    <t>32285000978386</t>
  </si>
  <si>
    <t>893225660</t>
  </si>
  <si>
    <t>RM222.2 .G32 1996</t>
  </si>
  <si>
    <t>0                      RM 0222200G  32          1996</t>
  </si>
  <si>
    <t>Big fat lies : the truth about your weight and your health / Glenn A. Gaesser.</t>
  </si>
  <si>
    <t>Gaesser, Glenn A. (Glenn Alan)</t>
  </si>
  <si>
    <t>New York : Fawcett Columbine, 1996.</t>
  </si>
  <si>
    <t>1996</t>
  </si>
  <si>
    <t>2007-10-10</t>
  </si>
  <si>
    <t>1996-10-22</t>
  </si>
  <si>
    <t>838657253:eng</t>
  </si>
  <si>
    <t>35366380</t>
  </si>
  <si>
    <t>991002708029702656</t>
  </si>
  <si>
    <t>2264308650002656</t>
  </si>
  <si>
    <t>9780449909416</t>
  </si>
  <si>
    <t>32285002367489</t>
  </si>
  <si>
    <t>893867590</t>
  </si>
  <si>
    <t>RM222.2 .J43</t>
  </si>
  <si>
    <t>0                      RM 0222200J  43</t>
  </si>
  <si>
    <t>Take it off and keep it off : a behavioral program for weight loss and healthy living / D. Balfour Jeffrey, Roger C. Katz. --</t>
  </si>
  <si>
    <t>Jeffrey, D. Balfour.</t>
  </si>
  <si>
    <t>Englewood Cliffs, N.J. : Prentice-Hall, c1977.</t>
  </si>
  <si>
    <t>1977</t>
  </si>
  <si>
    <t>A Spectrum book</t>
  </si>
  <si>
    <t>1998-03-24</t>
  </si>
  <si>
    <t>905626959:eng</t>
  </si>
  <si>
    <t>2875361</t>
  </si>
  <si>
    <t>991005264569702656</t>
  </si>
  <si>
    <t>2259482880002656</t>
  </si>
  <si>
    <t>9780138828608</t>
  </si>
  <si>
    <t>32285000978378</t>
  </si>
  <si>
    <t>893896152</t>
  </si>
  <si>
    <t>RM222.2 .L4224</t>
  </si>
  <si>
    <t>0                      RM 0222200L  4224</t>
  </si>
  <si>
    <t>Calories in/calories out : the energy-budget way to fitness and weight control / by James Leisy.</t>
  </si>
  <si>
    <t>Leisy, James F.</t>
  </si>
  <si>
    <t>Brattleboro, Vt. : S. Greene Press, c1981.</t>
  </si>
  <si>
    <t>1981</t>
  </si>
  <si>
    <t>vtu</t>
  </si>
  <si>
    <t>2002-10-30</t>
  </si>
  <si>
    <t>23915726:eng</t>
  </si>
  <si>
    <t>6861394</t>
  </si>
  <si>
    <t>991005047679702656</t>
  </si>
  <si>
    <t>2271332230002656</t>
  </si>
  <si>
    <t>9780828904131</t>
  </si>
  <si>
    <t>32285000088665</t>
  </si>
  <si>
    <t>893789353</t>
  </si>
  <si>
    <t>RM222.2 .S39 1995</t>
  </si>
  <si>
    <t>0                      RM 0222200S  39          1995</t>
  </si>
  <si>
    <t>The zone : a dietary road map / Barry Sears, with Bill Lawren.</t>
  </si>
  <si>
    <t>Sears, Barry, 1947-</t>
  </si>
  <si>
    <t>New York, NY : Regan Books, c1995.</t>
  </si>
  <si>
    <t>2009-09-02</t>
  </si>
  <si>
    <t>2007-01-16</t>
  </si>
  <si>
    <t>3901284524:eng</t>
  </si>
  <si>
    <t>32394216</t>
  </si>
  <si>
    <t>991005007749702656</t>
  </si>
  <si>
    <t>2256009670002656</t>
  </si>
  <si>
    <t>9780060191313</t>
  </si>
  <si>
    <t>32285005270821</t>
  </si>
  <si>
    <t>893807709</t>
  </si>
  <si>
    <t>RM222.2 .S755 1997</t>
  </si>
  <si>
    <t>0                      RM 0222200S  755         1997</t>
  </si>
  <si>
    <t>Fat history : bodies and beauty in the modern West / Peter N. Stearns.</t>
  </si>
  <si>
    <t>Stearns, Peter N.</t>
  </si>
  <si>
    <t>New York : New York University Press, c1997.</t>
  </si>
  <si>
    <t>1997</t>
  </si>
  <si>
    <t>2007-09-13</t>
  </si>
  <si>
    <t>1998-10-22</t>
  </si>
  <si>
    <t>792452857:eng</t>
  </si>
  <si>
    <t>35829805</t>
  </si>
  <si>
    <t>991002731509702656</t>
  </si>
  <si>
    <t>2259062760002656</t>
  </si>
  <si>
    <t>9780814780695</t>
  </si>
  <si>
    <t>32285003477022</t>
  </si>
  <si>
    <t>893517674</t>
  </si>
  <si>
    <t>RM237.7 .O76 1993</t>
  </si>
  <si>
    <t>0                      RM 0237700O  76          1993</t>
  </si>
  <si>
    <t>Eat more, weigh less : Dr. Dean Ornish's life choice program for losing weight safely while eating abundantly / Dean Ornish ; with cooking section edited by Shirley Elizabeth Brown.</t>
  </si>
  <si>
    <t>Ornish, Dean.</t>
  </si>
  <si>
    <t>New York : HarperCollins, c1993.</t>
  </si>
  <si>
    <t>1993</t>
  </si>
  <si>
    <t>2009-04-16</t>
  </si>
  <si>
    <t>1993-09-14</t>
  </si>
  <si>
    <t>325329:eng</t>
  </si>
  <si>
    <t>27265337</t>
  </si>
  <si>
    <t>991002127979702656</t>
  </si>
  <si>
    <t>2269628370002656</t>
  </si>
  <si>
    <t>9780060168384</t>
  </si>
  <si>
    <t>32285001766632</t>
  </si>
  <si>
    <t>893866829</t>
  </si>
  <si>
    <t>RM237.9 .T54</t>
  </si>
  <si>
    <t>0                      RM 0237900T  54</t>
  </si>
  <si>
    <t>Young at 73---and beyond! How to keep eternally youthful and remain tireless, painless, ageless / by Frederick Tilney.</t>
  </si>
  <si>
    <t>Tilney, Frederick.</t>
  </si>
  <si>
    <t>New York : Information, Inc., c1968.</t>
  </si>
  <si>
    <t>1968</t>
  </si>
  <si>
    <t>1993-03-04</t>
  </si>
  <si>
    <t>1187084:eng</t>
  </si>
  <si>
    <t>155608</t>
  </si>
  <si>
    <t>991000894879702656</t>
  </si>
  <si>
    <t>2256617370002656</t>
  </si>
  <si>
    <t>32285001529881</t>
  </si>
  <si>
    <t>893803149</t>
  </si>
  <si>
    <t>RM261.3.U6 C37 1985</t>
  </si>
  <si>
    <t>0                      RM 0261300U  6                  C  37          1985</t>
  </si>
  <si>
    <t>Drugs in modern society / Charles R. Carroll.</t>
  </si>
  <si>
    <t>Carroll, Charles R.</t>
  </si>
  <si>
    <t>Dubuque, Iowa : Wm. C. Brown, 1985.</t>
  </si>
  <si>
    <t>1985</t>
  </si>
  <si>
    <t>iau</t>
  </si>
  <si>
    <t>2008-03-30</t>
  </si>
  <si>
    <t>1992-01-21</t>
  </si>
  <si>
    <t>4634035:eng</t>
  </si>
  <si>
    <t>11933562</t>
  </si>
  <si>
    <t>991000615679702656</t>
  </si>
  <si>
    <t>2265513730002656</t>
  </si>
  <si>
    <t>9780697001399</t>
  </si>
  <si>
    <t>32285000916303</t>
  </si>
  <si>
    <t>893515433</t>
  </si>
  <si>
    <t>RM267 .F53 1994</t>
  </si>
  <si>
    <t>0                      RM 0267000F  53          1994</t>
  </si>
  <si>
    <t>The plague makers : how we are creating catastrophic new epidemics-- and what we must do to avert them / Jeffrey A. Fisher.</t>
  </si>
  <si>
    <t>Fisher, Jeffrey A., 1943-</t>
  </si>
  <si>
    <t>New York : Simon &amp; Schuster, c1994.</t>
  </si>
  <si>
    <t>1994</t>
  </si>
  <si>
    <t>2008-01-28</t>
  </si>
  <si>
    <t>1994-08-22</t>
  </si>
  <si>
    <t>889670678:eng</t>
  </si>
  <si>
    <t>29521207</t>
  </si>
  <si>
    <t>991002275439702656</t>
  </si>
  <si>
    <t>2268172340002656</t>
  </si>
  <si>
    <t>9780671791568</t>
  </si>
  <si>
    <t>32285001943819</t>
  </si>
  <si>
    <t>893504215</t>
  </si>
  <si>
    <t>RM267 .H35</t>
  </si>
  <si>
    <t>0                      RM 0267000H  35</t>
  </si>
  <si>
    <t>Antibiotics and antimicrobial action / Stephen M. Hammond, Peter A. Lambert. --</t>
  </si>
  <si>
    <t>Hammond, Stephen M.</t>
  </si>
  <si>
    <t>London : E. Arnold, 1978.</t>
  </si>
  <si>
    <t>The Institute of Biology's Studies in biology ; no. 90</t>
  </si>
  <si>
    <t>2002-01-24</t>
  </si>
  <si>
    <t>1992-03-16</t>
  </si>
  <si>
    <t>13192371:eng</t>
  </si>
  <si>
    <t>3962612</t>
  </si>
  <si>
    <t>991004554669702656</t>
  </si>
  <si>
    <t>2264922340002656</t>
  </si>
  <si>
    <t>9780713126839</t>
  </si>
  <si>
    <t>32285001021178</t>
  </si>
  <si>
    <t>893331742</t>
  </si>
  <si>
    <t>RM288 .A5</t>
  </si>
  <si>
    <t>0                      RM 0288000A  5</t>
  </si>
  <si>
    <t>Steroid drugs.</t>
  </si>
  <si>
    <t>Applezweig, Norman, 1917-</t>
  </si>
  <si>
    <t>New York, Blakiston Division, McGraw-Hill [1962]-</t>
  </si>
  <si>
    <t>1962</t>
  </si>
  <si>
    <t>1997-10-13</t>
  </si>
  <si>
    <t>1997-08-12</t>
  </si>
  <si>
    <t>1875179:eng</t>
  </si>
  <si>
    <t>14615096</t>
  </si>
  <si>
    <t>991005266499702656</t>
  </si>
  <si>
    <t>2263351770002656</t>
  </si>
  <si>
    <t>32285003094397</t>
  </si>
  <si>
    <t>893607105</t>
  </si>
  <si>
    <t>RM300 .M1843 2005</t>
  </si>
  <si>
    <t>0                      RM 0300000M  1843        2005</t>
  </si>
  <si>
    <t>Pharmacology application in athletic training / Brent C. Mangus, Michael G. Miller ; with consultant, Kimberly A. Melgarejo.</t>
  </si>
  <si>
    <t>Mangus, Brent C.</t>
  </si>
  <si>
    <t>Philadelphia, PA : F.A. Davis, c2005.</t>
  </si>
  <si>
    <t>2005</t>
  </si>
  <si>
    <t>2005-05-11</t>
  </si>
  <si>
    <t>960272:eng</t>
  </si>
  <si>
    <t>57123727</t>
  </si>
  <si>
    <t>991004512689702656</t>
  </si>
  <si>
    <t>2269252790002656</t>
  </si>
  <si>
    <t>9780803611276</t>
  </si>
  <si>
    <t>32285005037279</t>
  </si>
  <si>
    <t>893513324</t>
  </si>
  <si>
    <t>RM300 .S84</t>
  </si>
  <si>
    <t>0                      RM 0300000S  84</t>
  </si>
  <si>
    <t>Foundations of molecular pharmacology / J. B. Stenlake.</t>
  </si>
  <si>
    <t>V. 2</t>
  </si>
  <si>
    <t>Stenlake, J. B. (John Bedford)</t>
  </si>
  <si>
    <t>London : Athlone Press ; [Atlantic Highlands], N. J. : distributed [in the] USA by Humanities Press, c1979.</t>
  </si>
  <si>
    <t>1979</t>
  </si>
  <si>
    <t>2002-04-24</t>
  </si>
  <si>
    <t>3980079141:eng</t>
  </si>
  <si>
    <t>5513552</t>
  </si>
  <si>
    <t>991001777549702656</t>
  </si>
  <si>
    <t>2269899490002656</t>
  </si>
  <si>
    <t>9780485111712</t>
  </si>
  <si>
    <t>32285001529915</t>
  </si>
  <si>
    <t>893684633</t>
  </si>
  <si>
    <t>V. 1</t>
  </si>
  <si>
    <t>32285001529907</t>
  </si>
  <si>
    <t>893709535</t>
  </si>
  <si>
    <t>RM300 .T39 1981</t>
  </si>
  <si>
    <t>0                      RM 0300000T  39          1981</t>
  </si>
  <si>
    <t>Introductory medicinal chemistry / J.B. Taylor and P.D. Kennewell.</t>
  </si>
  <si>
    <t>Taylor, J. B. (John Bodenhan), 1939-</t>
  </si>
  <si>
    <t>Chichester : Ellis Horwood ; New York : Halsted Press, 1981.</t>
  </si>
  <si>
    <t>1994-03-24</t>
  </si>
  <si>
    <t>2005-08-24</t>
  </si>
  <si>
    <t>1992-01-28</t>
  </si>
  <si>
    <t>509805:eng</t>
  </si>
  <si>
    <t>7653077</t>
  </si>
  <si>
    <t>991001785909702656</t>
  </si>
  <si>
    <t>2256349210002656</t>
  </si>
  <si>
    <t>9780853122074</t>
  </si>
  <si>
    <t>32285000899335</t>
  </si>
  <si>
    <t>893684647</t>
  </si>
  <si>
    <t>RM301 .S43 1986</t>
  </si>
  <si>
    <t>0                      RM 0301000S  43          1986</t>
  </si>
  <si>
    <t>Drugs of choice : current perspectives on drug use / Richard G. Schlaadt, Peter T. Shannon.</t>
  </si>
  <si>
    <t>Schlaadt, Richard G., 1935-</t>
  </si>
  <si>
    <t>Englewood Cliffs, N.J. : Prentice-Hall, c1986.</t>
  </si>
  <si>
    <t>1986</t>
  </si>
  <si>
    <t>2006-02-21</t>
  </si>
  <si>
    <t>1998-12-07</t>
  </si>
  <si>
    <t>5019620:eng</t>
  </si>
  <si>
    <t>12370198</t>
  </si>
  <si>
    <t>991000677489702656</t>
  </si>
  <si>
    <t>2261316630002656</t>
  </si>
  <si>
    <t>9780132207409</t>
  </si>
  <si>
    <t>32285003494282</t>
  </si>
  <si>
    <t>893528282</t>
  </si>
  <si>
    <t>RM301 .S6 1985</t>
  </si>
  <si>
    <t>0                      RM 0301000S  6           1985</t>
  </si>
  <si>
    <t>Drug discovery : the evolution of modern medicines / Walter Sneader.</t>
  </si>
  <si>
    <t>Sneader, Walter.</t>
  </si>
  <si>
    <t>Chichester ; New York : Wiley, c1985, 1986 printing.</t>
  </si>
  <si>
    <t>A Wiley medical publication</t>
  </si>
  <si>
    <t>2000-09-10</t>
  </si>
  <si>
    <t>1993-05-14</t>
  </si>
  <si>
    <t>3144530392:eng</t>
  </si>
  <si>
    <t>11650496</t>
  </si>
  <si>
    <t>991000571119702656</t>
  </si>
  <si>
    <t>2269874640002656</t>
  </si>
  <si>
    <t>9780471904717</t>
  </si>
  <si>
    <t>32285001656221</t>
  </si>
  <si>
    <t>893321161</t>
  </si>
  <si>
    <t>RM301 .S92 1967b</t>
  </si>
  <si>
    <t>0                      RM 0301000S  92          1967b</t>
  </si>
  <si>
    <t>A symposium on drugs and sensory functions. Editor: Andrew Herxheimer.</t>
  </si>
  <si>
    <t>Symposium on Drugs and Sensory Functions (1967 : London, England)</t>
  </si>
  <si>
    <t>Boston, Little, Brown, 1968.</t>
  </si>
  <si>
    <t>1995-03-31</t>
  </si>
  <si>
    <t>1995-02-28</t>
  </si>
  <si>
    <t>1461209:eng</t>
  </si>
  <si>
    <t>441745</t>
  </si>
  <si>
    <t>991002786469702656</t>
  </si>
  <si>
    <t>2255889490002656</t>
  </si>
  <si>
    <t>32285002010634</t>
  </si>
  <si>
    <t>893604028</t>
  </si>
  <si>
    <t>RM301 .W58 1988</t>
  </si>
  <si>
    <t>0                      RM 0301000W  58          1988</t>
  </si>
  <si>
    <t>Drugs and society / Weldon L. Witters, Peter J. Venturelli.</t>
  </si>
  <si>
    <t>Witters, Weldon L.</t>
  </si>
  <si>
    <t>Boston : Jones and Bartlett Publishers, c1988.</t>
  </si>
  <si>
    <t>2000-10-06</t>
  </si>
  <si>
    <t>1992-02-11</t>
  </si>
  <si>
    <t>592508:eng</t>
  </si>
  <si>
    <t>17234211</t>
  </si>
  <si>
    <t>991001189129702656</t>
  </si>
  <si>
    <t>2271906650002656</t>
  </si>
  <si>
    <t>9780867204100</t>
  </si>
  <si>
    <t>32285000954833</t>
  </si>
  <si>
    <t>893684134</t>
  </si>
  <si>
    <t>RM301.25 .B69 2003</t>
  </si>
  <si>
    <t>0                      RM 0301250B  69          2003</t>
  </si>
  <si>
    <t>Pharmaceutical achievers : the human face of pharmaceutical research / by Mary Ellen Bowden, Amy Beth Crow, and Tracy Sullivan.</t>
  </si>
  <si>
    <t>Bowden, Mary Ellen.</t>
  </si>
  <si>
    <t>Phialdelphia, PA : Chemical Heritage Press, 2003.</t>
  </si>
  <si>
    <t>2003</t>
  </si>
  <si>
    <t>2003-04-03</t>
  </si>
  <si>
    <t>437666145:eng</t>
  </si>
  <si>
    <t>48249219</t>
  </si>
  <si>
    <t>991003999539702656</t>
  </si>
  <si>
    <t>2262211720002656</t>
  </si>
  <si>
    <t>9780941901307</t>
  </si>
  <si>
    <t>32285004689518</t>
  </si>
  <si>
    <t>893593147</t>
  </si>
  <si>
    <t>RM301.3.C47 P57 1997</t>
  </si>
  <si>
    <t>0                      RM 0301300C  47                 P  57          1997</t>
  </si>
  <si>
    <t>Physiology and pharmacology of biological rhythms / contributors, F. Andreotti ... [etal.] ; editors, P.H. Redfern and B. Lemmer.</t>
  </si>
  <si>
    <t>Berlin ; New York : Springer, c1997.</t>
  </si>
  <si>
    <t xml:space="preserve">gw </t>
  </si>
  <si>
    <t>Handbook of experimental pharmacology ; v. 125</t>
  </si>
  <si>
    <t>2003-01-07</t>
  </si>
  <si>
    <t>1998-08-12</t>
  </si>
  <si>
    <t>358715002:eng</t>
  </si>
  <si>
    <t>35198557</t>
  </si>
  <si>
    <t>991005424509702656</t>
  </si>
  <si>
    <t>2260338690002656</t>
  </si>
  <si>
    <t>9783540615255</t>
  </si>
  <si>
    <t>32285003452520</t>
  </si>
  <si>
    <t>893777459</t>
  </si>
  <si>
    <t>RM301.3.G45 G46 1991</t>
  </si>
  <si>
    <t>0                      RM 0301300G  45                 G  46          1991</t>
  </si>
  <si>
    <t>The Genetic basis of alcohol and drug actions / edited by John C. Crabbe, Jr. and R. Adron Harris.</t>
  </si>
  <si>
    <t>New York : Plenum Press, c1991.</t>
  </si>
  <si>
    <t>1999-09-16</t>
  </si>
  <si>
    <t>1994-01-20</t>
  </si>
  <si>
    <t>350246424:eng</t>
  </si>
  <si>
    <t>24246866</t>
  </si>
  <si>
    <t>991001921059702656</t>
  </si>
  <si>
    <t>2264061020002656</t>
  </si>
  <si>
    <t>9780306438684</t>
  </si>
  <si>
    <t>32285001832087</t>
  </si>
  <si>
    <t>893510073</t>
  </si>
  <si>
    <t>RM301.41 .S58 1995</t>
  </si>
  <si>
    <t>0                      RM 0301410S  58          1995</t>
  </si>
  <si>
    <t>Sites of drug action in the human brain / edited by Anat Biegon, Nora D. Volkow.</t>
  </si>
  <si>
    <t>Boca Raton : CRC Press, c1995.</t>
  </si>
  <si>
    <t>flu</t>
  </si>
  <si>
    <t>1999-03-22</t>
  </si>
  <si>
    <t>1996-10-30</t>
  </si>
  <si>
    <t>33275010:eng</t>
  </si>
  <si>
    <t>31604964</t>
  </si>
  <si>
    <t>991002422809702656</t>
  </si>
  <si>
    <t>2266032050002656</t>
  </si>
  <si>
    <t>9780849376535</t>
  </si>
  <si>
    <t>32285002379252</t>
  </si>
  <si>
    <t>893685345</t>
  </si>
  <si>
    <t>RM315 .A22</t>
  </si>
  <si>
    <t>0                      RM 0315000A  22</t>
  </si>
  <si>
    <t>Drugs and behavior : a primer in neuropsychopharmacology / [by] Ernest L. Abel.</t>
  </si>
  <si>
    <t>Abel, Ernest L., 1943-</t>
  </si>
  <si>
    <t>New York : Wiley, [1974]</t>
  </si>
  <si>
    <t>1974</t>
  </si>
  <si>
    <t>1995-02-21</t>
  </si>
  <si>
    <t>836676266:eng</t>
  </si>
  <si>
    <t>915822</t>
  </si>
  <si>
    <t>991003379729702656</t>
  </si>
  <si>
    <t>2264782400002656</t>
  </si>
  <si>
    <t>9780471001553</t>
  </si>
  <si>
    <t>32285001989143</t>
  </si>
  <si>
    <t>893441242</t>
  </si>
  <si>
    <t>RM315 .B53</t>
  </si>
  <si>
    <t>0                      RM 0315000B  53</t>
  </si>
  <si>
    <t>Drugs and the brain : papers on the action, use, and abuse of psychotropic agents / edited by Perry Black.</t>
  </si>
  <si>
    <t>Black, Perry, 1930-</t>
  </si>
  <si>
    <t>Baltimore : Johns Hopkins Press, [1969]</t>
  </si>
  <si>
    <t>1969</t>
  </si>
  <si>
    <t>mdu</t>
  </si>
  <si>
    <t>2006-03-28</t>
  </si>
  <si>
    <t>1992-11-18</t>
  </si>
  <si>
    <t>1133921:eng</t>
  </si>
  <si>
    <t>10827</t>
  </si>
  <si>
    <t>991000001959702656</t>
  </si>
  <si>
    <t>2268011120002656</t>
  </si>
  <si>
    <t>9780801810022</t>
  </si>
  <si>
    <t>32285001405546</t>
  </si>
  <si>
    <t>893683067</t>
  </si>
  <si>
    <t>RM315 .B657 1996</t>
  </si>
  <si>
    <t>0                      RM 0315000B  657         1996</t>
  </si>
  <si>
    <t>Brain mechanisms and psychotropic drugs / edited by Andrius Baskys, Gary Remington.</t>
  </si>
  <si>
    <t>Boca Raton : CRC Press, c1996.</t>
  </si>
  <si>
    <t>Pharmacology and toxicology</t>
  </si>
  <si>
    <t>1996-09-10</t>
  </si>
  <si>
    <t>355743299:eng</t>
  </si>
  <si>
    <t>33489224</t>
  </si>
  <si>
    <t>991002575339702656</t>
  </si>
  <si>
    <t>2266097150002656</t>
  </si>
  <si>
    <t>9780849383861</t>
  </si>
  <si>
    <t>32285002316395</t>
  </si>
  <si>
    <t>893251396</t>
  </si>
  <si>
    <t>RM315 .C4 1970</t>
  </si>
  <si>
    <t>0                      RM 0315000C  4           1970</t>
  </si>
  <si>
    <t>Drugs, development, and cerebral function : [papers] / compiled and edited by W. Lynn Smith. With a foreword by Marcel Kinsbourne.</t>
  </si>
  <si>
    <t>Cerebral Function Symposium (2nd : 1970 : Denver, Colo.)</t>
  </si>
  <si>
    <t>Springfield, Ill. : Thomas, [1972]</t>
  </si>
  <si>
    <t>1972</t>
  </si>
  <si>
    <t>1994-05-06</t>
  </si>
  <si>
    <t>3856535319:eng</t>
  </si>
  <si>
    <t>277443</t>
  </si>
  <si>
    <t>991002173299702656</t>
  </si>
  <si>
    <t>2260291010002656</t>
  </si>
  <si>
    <t>9780398024178</t>
  </si>
  <si>
    <t>32285001907160</t>
  </si>
  <si>
    <t>893792105</t>
  </si>
  <si>
    <t>RM315 .G73</t>
  </si>
  <si>
    <t>0                      RM 0315000G  73</t>
  </si>
  <si>
    <t>About mind-altering drugs and the brain / by Henry F. Greenberg and Wallace D. Winters.</t>
  </si>
  <si>
    <t>Greenberg, Henry F.</t>
  </si>
  <si>
    <t>California : The Rotary Club of Pacific Palisades, c1971.</t>
  </si>
  <si>
    <t>cau</t>
  </si>
  <si>
    <t>2001-04-08</t>
  </si>
  <si>
    <t>5732744:eng</t>
  </si>
  <si>
    <t>12887461</t>
  </si>
  <si>
    <t>991000747949702656</t>
  </si>
  <si>
    <t>2258323770002656</t>
  </si>
  <si>
    <t>32285001406213</t>
  </si>
  <si>
    <t>893496518</t>
  </si>
  <si>
    <t>RM315 .H633</t>
  </si>
  <si>
    <t>0                      RM 0315000H  633</t>
  </si>
  <si>
    <t>Clinical use of psychotherapeutic drugs, by Leo E. Hollister.</t>
  </si>
  <si>
    <t>Hollister, Leo E., 1920-2000.</t>
  </si>
  <si>
    <t>Springfield, Ill., Thomas [1973]</t>
  </si>
  <si>
    <t>1973</t>
  </si>
  <si>
    <t>1595104:eng</t>
  </si>
  <si>
    <t>700391</t>
  </si>
  <si>
    <t>991003161229702656</t>
  </si>
  <si>
    <t>2256727760002656</t>
  </si>
  <si>
    <t>9780398027490</t>
  </si>
  <si>
    <t>32285003094439</t>
  </si>
  <si>
    <t>893874486</t>
  </si>
  <si>
    <t>RM315 .J75 1985</t>
  </si>
  <si>
    <t>0                      RM 0315000J  75          1985</t>
  </si>
  <si>
    <t>A primer of drug action / Robert M. Julien.</t>
  </si>
  <si>
    <t>Julien, Robert M.</t>
  </si>
  <si>
    <t>New York : W.H. Freeman, c1985.</t>
  </si>
  <si>
    <t>A Series of books in psychology</t>
  </si>
  <si>
    <t>2006-10-18</t>
  </si>
  <si>
    <t>2705640:eng</t>
  </si>
  <si>
    <t>11469882</t>
  </si>
  <si>
    <t>991000539689702656</t>
  </si>
  <si>
    <t>2266345720002656</t>
  </si>
  <si>
    <t>9780716717133</t>
  </si>
  <si>
    <t>32285001529949</t>
  </si>
  <si>
    <t>893315035</t>
  </si>
  <si>
    <t>RM315 .L36 1982</t>
  </si>
  <si>
    <t>0                      RM 0315000L  36          1982</t>
  </si>
  <si>
    <t>Drugs and behavior / Fred Leavitt.</t>
  </si>
  <si>
    <t>Leavitt, Fred.</t>
  </si>
  <si>
    <t>New York : Wiley, c1982.</t>
  </si>
  <si>
    <t>1982</t>
  </si>
  <si>
    <t>Wiley series on personality processes</t>
  </si>
  <si>
    <t>2004-10-07</t>
  </si>
  <si>
    <t>1995-06-30</t>
  </si>
  <si>
    <t>1925966:eng</t>
  </si>
  <si>
    <t>7925458</t>
  </si>
  <si>
    <t>991005178079702656</t>
  </si>
  <si>
    <t>2268864940002656</t>
  </si>
  <si>
    <t>9780471064565</t>
  </si>
  <si>
    <t>32285002021649</t>
  </si>
  <si>
    <t>893353747</t>
  </si>
  <si>
    <t>RM315 .L42 1992</t>
  </si>
  <si>
    <t>0                      RM 0315000L  42          1992</t>
  </si>
  <si>
    <t>Fundamentals of psychopharmacology / Brian E. Leonard.</t>
  </si>
  <si>
    <t>Leonard, B. E.</t>
  </si>
  <si>
    <t>Chichester ; New York : J. Wiley, c1992.</t>
  </si>
  <si>
    <t>2009-09-23</t>
  </si>
  <si>
    <t>1993-12-10</t>
  </si>
  <si>
    <t>550777:eng</t>
  </si>
  <si>
    <t>24871405</t>
  </si>
  <si>
    <t>991001962969702656</t>
  </si>
  <si>
    <t>2262723760002656</t>
  </si>
  <si>
    <t>9780471933885</t>
  </si>
  <si>
    <t>32285001815751</t>
  </si>
  <si>
    <t>893244592</t>
  </si>
  <si>
    <t>RM315 .L46</t>
  </si>
  <si>
    <t>0                      RM 0315000L  46</t>
  </si>
  <si>
    <t>Psychopharmacology : a biological approach / Robert A. Levitt.</t>
  </si>
  <si>
    <t>Levitt, Robert A.</t>
  </si>
  <si>
    <t>Washington : Hemisphere Pub. Corp. ; New York : distributed by Halsted Press, [1975]</t>
  </si>
  <si>
    <t>dcu</t>
  </si>
  <si>
    <t>Series in experimental psychology</t>
  </si>
  <si>
    <t>375195840:eng</t>
  </si>
  <si>
    <t>1103154</t>
  </si>
  <si>
    <t>991003537899702656</t>
  </si>
  <si>
    <t>2267394830002656</t>
  </si>
  <si>
    <t>9780470531495</t>
  </si>
  <si>
    <t>32285003094447</t>
  </si>
  <si>
    <t>893598679</t>
  </si>
  <si>
    <t>RM315 .P7534</t>
  </si>
  <si>
    <t>0                      RM 0315000P  7534</t>
  </si>
  <si>
    <t>Psychopharmacology : from theory to practice / editors, Jack D. Barchas ... [et al.].</t>
  </si>
  <si>
    <t>New York : Oxford University Press, 1977.</t>
  </si>
  <si>
    <t>1999-03-15</t>
  </si>
  <si>
    <t>1995-04-06</t>
  </si>
  <si>
    <t>864034454:eng</t>
  </si>
  <si>
    <t>3002015</t>
  </si>
  <si>
    <t>991004313089702656</t>
  </si>
  <si>
    <t>2272247250002656</t>
  </si>
  <si>
    <t>9780195022148</t>
  </si>
  <si>
    <t>32285002025822</t>
  </si>
  <si>
    <t>893722370</t>
  </si>
  <si>
    <t>RM315 .P762 1995</t>
  </si>
  <si>
    <t>0                      RM 0315000P  762         1995</t>
  </si>
  <si>
    <t>Psychopharmacology : the fourth generation of progress / editors-in-chief, Floyd E. Bloom, David Kupfer ; associate editors, Benjamin S. Bunney ... [et al.].</t>
  </si>
  <si>
    <t>New York : Raven Press, c1995.</t>
  </si>
  <si>
    <t>1999-01-13</t>
  </si>
  <si>
    <t>1996-12-12</t>
  </si>
  <si>
    <t>947187603:eng</t>
  </si>
  <si>
    <t>30031477</t>
  </si>
  <si>
    <t>991002313829702656</t>
  </si>
  <si>
    <t>2270659700002656</t>
  </si>
  <si>
    <t>9780781701662</t>
  </si>
  <si>
    <t>32285002393238</t>
  </si>
  <si>
    <t>893335158</t>
  </si>
  <si>
    <t>RM315 .U4</t>
  </si>
  <si>
    <t>0                      RM 0315000U  4</t>
  </si>
  <si>
    <t>Drugs and behavior / edited by Leonard Uhr [and] James G. Miller.</t>
  </si>
  <si>
    <t>Uhr, Leonard Merrick, 1927- editor.</t>
  </si>
  <si>
    <t>New York : Wiley, [1960]</t>
  </si>
  <si>
    <t>1998-10-28</t>
  </si>
  <si>
    <t>1992-04-08</t>
  </si>
  <si>
    <t>346552590:eng</t>
  </si>
  <si>
    <t>630963</t>
  </si>
  <si>
    <t>991003077819702656</t>
  </si>
  <si>
    <t>2262216840002656</t>
  </si>
  <si>
    <t>32285001056034</t>
  </si>
  <si>
    <t>893623128</t>
  </si>
  <si>
    <t>RM315 .Y83 1991</t>
  </si>
  <si>
    <t>0                      RM 0315000Y  83          1991</t>
  </si>
  <si>
    <t>What you need to know about psychiatric drugs / Stuart Yudofsky, Robert E. Hales, Tom Ferguson.</t>
  </si>
  <si>
    <t>Yudofsky, Stuart C.</t>
  </si>
  <si>
    <t>New York : Grove Weidenfeld, 1991.</t>
  </si>
  <si>
    <t>1997-03-03</t>
  </si>
  <si>
    <t>23211681:eng</t>
  </si>
  <si>
    <t>22117538</t>
  </si>
  <si>
    <t>991005328499702656</t>
  </si>
  <si>
    <t>2260126750002656</t>
  </si>
  <si>
    <t>9780802112811</t>
  </si>
  <si>
    <t>32285000865518</t>
  </si>
  <si>
    <t>893437527</t>
  </si>
  <si>
    <t>RM319 .K6</t>
  </si>
  <si>
    <t>0                      RM 0319000K  6</t>
  </si>
  <si>
    <t>Comprehensive approach to therapy of pain; by A. Lewis Kolodyny and Patrick T. McLoughlin. With a foreword by Hyman S. Rubinstein.</t>
  </si>
  <si>
    <t>Kolodny, A. Lewis.</t>
  </si>
  <si>
    <t>Springfield, Ill., C.C. Thomas [1966]</t>
  </si>
  <si>
    <t>1966</t>
  </si>
  <si>
    <t>2001-09-18</t>
  </si>
  <si>
    <t>2095962:eng</t>
  </si>
  <si>
    <t>1161444</t>
  </si>
  <si>
    <t>991003580429702656</t>
  </si>
  <si>
    <t>2271324220002656</t>
  </si>
  <si>
    <t>32285003094454</t>
  </si>
  <si>
    <t>893348838</t>
  </si>
  <si>
    <t>RM331 .F57</t>
  </si>
  <si>
    <t>0                      RM 0331000F  57</t>
  </si>
  <si>
    <t>Placebo therapy [by] Jefferson M. Fish.</t>
  </si>
  <si>
    <t>Fish, Jefferson M.</t>
  </si>
  <si>
    <t>San Francisco, Jossey-Bass Publishers, 1973.</t>
  </si>
  <si>
    <t>[1st ed.]</t>
  </si>
  <si>
    <t>The Jossey-Bass behavioral science series</t>
  </si>
  <si>
    <t>1999-02-22</t>
  </si>
  <si>
    <t>1997-08-13</t>
  </si>
  <si>
    <t>1622106:eng</t>
  </si>
  <si>
    <t>804937</t>
  </si>
  <si>
    <t>991003282599702656</t>
  </si>
  <si>
    <t>2269683490002656</t>
  </si>
  <si>
    <t>9780875891903</t>
  </si>
  <si>
    <t>32285003094488</t>
  </si>
  <si>
    <t>893698853</t>
  </si>
  <si>
    <t>RM340 .B76 1995</t>
  </si>
  <si>
    <t>0                      RM 0340000B  76          1995</t>
  </si>
  <si>
    <t>Ethical issues in drug testing, approval, and pricing : the clot-dissolving drugs / Baruch A. Brody.</t>
  </si>
  <si>
    <t>Brody, Baruch A.</t>
  </si>
  <si>
    <t>New York : Oxford University Press, 1995.</t>
  </si>
  <si>
    <t>2002-01-18</t>
  </si>
  <si>
    <t>1995-02-14</t>
  </si>
  <si>
    <t>1995-03-06</t>
  </si>
  <si>
    <t>836748974:eng</t>
  </si>
  <si>
    <t>29877585</t>
  </si>
  <si>
    <t>991001661759702656</t>
  </si>
  <si>
    <t>2257935610002656</t>
  </si>
  <si>
    <t>9780195088311</t>
  </si>
  <si>
    <t>32285001998698</t>
  </si>
  <si>
    <t>893803790</t>
  </si>
  <si>
    <t>RM666.G15 K3</t>
  </si>
  <si>
    <t>0                      RM 0666000G  15                 K  3</t>
  </si>
  <si>
    <t>Garlic, the unknown miracle worker : odorless garlic medicine and garlic Flow-Leben / by Yoshio Kato ; translation into English, Masuo Hayata, Yoshio Nakamura, Yukio Nagai ; rewriting, Thomas J. Reilly.</t>
  </si>
  <si>
    <t>Katō, Yoshio, 1920-</t>
  </si>
  <si>
    <t>Amagasakici, Japan : Oyama Garlic Laboratory, 1973.</t>
  </si>
  <si>
    <t xml:space="preserve">ja </t>
  </si>
  <si>
    <t>1997-11-22</t>
  </si>
  <si>
    <t>1995-04-18</t>
  </si>
  <si>
    <t>1745064:eng</t>
  </si>
  <si>
    <t>728138</t>
  </si>
  <si>
    <t>991003203099702656</t>
  </si>
  <si>
    <t>2262258670002656</t>
  </si>
  <si>
    <t>32285002027471</t>
  </si>
  <si>
    <t>893330062</t>
  </si>
  <si>
    <t>RM666.H33 K36 1992</t>
  </si>
  <si>
    <t>0                      RM 0666000H  33                 K  36          1992</t>
  </si>
  <si>
    <t>The herbalist / Michael Jay Katz.</t>
  </si>
  <si>
    <t>Katz, Michael Jay, 1950-</t>
  </si>
  <si>
    <t>Lanham, Md. : University Press of America, c1992.</t>
  </si>
  <si>
    <t>2000-08-28</t>
  </si>
  <si>
    <t>1992-03-26</t>
  </si>
  <si>
    <t>43672738:eng</t>
  </si>
  <si>
    <t>24698767</t>
  </si>
  <si>
    <t>991001953669702656</t>
  </si>
  <si>
    <t>2268269600002656</t>
  </si>
  <si>
    <t>9780819185525</t>
  </si>
  <si>
    <t>32285001001295</t>
  </si>
  <si>
    <t>893322390</t>
  </si>
  <si>
    <t>RM666.H33 P49 1998</t>
  </si>
  <si>
    <t>0                      RM 0666000H  33                 P  49          1998</t>
  </si>
  <si>
    <t>Phytomedicines of Europe : chemistry and biological activity / Larry D. Lawson, Rudolf Bauer, editors.</t>
  </si>
  <si>
    <t>Washington, DC : American Chemical Society, 1998.</t>
  </si>
  <si>
    <t>1998</t>
  </si>
  <si>
    <t>ACS symposium series ; 691</t>
  </si>
  <si>
    <t>2001-04-19</t>
  </si>
  <si>
    <t>795126766:eng</t>
  </si>
  <si>
    <t>38494614</t>
  </si>
  <si>
    <t>991003503449702656</t>
  </si>
  <si>
    <t>2270176410002656</t>
  </si>
  <si>
    <t>9780841235595</t>
  </si>
  <si>
    <t>32285004313507</t>
  </si>
  <si>
    <t>893692774</t>
  </si>
  <si>
    <t>RM666.H33 P737 2006</t>
  </si>
  <si>
    <t>0                      RM 0666000H  33                 P  737         2006</t>
  </si>
  <si>
    <t>Ayurvedic herbs : a clinical guide to the healing plants of traditional Indian medicine / M.S. Premila.</t>
  </si>
  <si>
    <t>Premila, M. S.</t>
  </si>
  <si>
    <t>New York : Haworth Press, c2006.</t>
  </si>
  <si>
    <t>2006</t>
  </si>
  <si>
    <t>2007-12-12</t>
  </si>
  <si>
    <t>341168387:eng</t>
  </si>
  <si>
    <t>62493293</t>
  </si>
  <si>
    <t>991005139249702656</t>
  </si>
  <si>
    <t>2269155110002656</t>
  </si>
  <si>
    <t>9780789017673</t>
  </si>
  <si>
    <t>32285005371850</t>
  </si>
  <si>
    <t>893350784</t>
  </si>
  <si>
    <t>RM666.P35 L39 2004</t>
  </si>
  <si>
    <t>0                      RM 0666000P  35                 L  39          2004</t>
  </si>
  <si>
    <t>The mold in Dr. Florey's coat : the story of the penicillin miracle / Eric Lax.</t>
  </si>
  <si>
    <t>Lax, Eric.</t>
  </si>
  <si>
    <t>New York : H. Holt, 2004.</t>
  </si>
  <si>
    <t>2004</t>
  </si>
  <si>
    <t>2010-03-29</t>
  </si>
  <si>
    <t>2004-11-01</t>
  </si>
  <si>
    <t>783601:eng</t>
  </si>
  <si>
    <t>52727654</t>
  </si>
  <si>
    <t>991004283989702656</t>
  </si>
  <si>
    <t>2256669940002656</t>
  </si>
  <si>
    <t>9780805067903</t>
  </si>
  <si>
    <t>32285005007579</t>
  </si>
  <si>
    <t>893325176</t>
  </si>
  <si>
    <t>RM701 .G75 1988</t>
  </si>
  <si>
    <t>0                      RM 0701000G  75          1988</t>
  </si>
  <si>
    <t>Physical agents for physical therapists / by James E. Griffin and Terence C. Karselis ; with a contribution by Dean P. Currier.</t>
  </si>
  <si>
    <t>Griffin, James E.</t>
  </si>
  <si>
    <t>Springfield, Ill., U.S.A. : Thomas, 1988.</t>
  </si>
  <si>
    <t>3rd ed.</t>
  </si>
  <si>
    <t>1996-01-29</t>
  </si>
  <si>
    <t>8067809:eng</t>
  </si>
  <si>
    <t>16225909</t>
  </si>
  <si>
    <t>991001092379702656</t>
  </si>
  <si>
    <t>2264397670002656</t>
  </si>
  <si>
    <t>9780398053840</t>
  </si>
  <si>
    <t>32285000916295</t>
  </si>
  <si>
    <t>893602313</t>
  </si>
  <si>
    <t>RM701 .S55 1995</t>
  </si>
  <si>
    <t>0                      RM 0701000S  55          1995</t>
  </si>
  <si>
    <t>Motor control : theory and practical applications / Anne Shumway-Cook, Marjorie H. Woollacott.</t>
  </si>
  <si>
    <t>Shumway-Cook, Anne, 1947-</t>
  </si>
  <si>
    <t>Baltimore : Williams &amp; Wilkins, c1995.</t>
  </si>
  <si>
    <t>2006-06-21</t>
  </si>
  <si>
    <t>1996-01-25</t>
  </si>
  <si>
    <t>3372852580:eng</t>
  </si>
  <si>
    <t>30894139</t>
  </si>
  <si>
    <t>991001804159702656</t>
  </si>
  <si>
    <t>2271527940002656</t>
  </si>
  <si>
    <t>9780683077575</t>
  </si>
  <si>
    <t>32285002125929</t>
  </si>
  <si>
    <t>893316081</t>
  </si>
  <si>
    <t>RM701 .S6613 1981</t>
  </si>
  <si>
    <t>0                      RM 0701000S  6613        1981</t>
  </si>
  <si>
    <t>Physical therapy for sports / edited by Werner Kuprian, with the collaboration of Doris Eitner, Lutz Meissner, Helmut Ork ; translated by Todd Kontje.</t>
  </si>
  <si>
    <t>Sport-Physiotherapie. English.</t>
  </si>
  <si>
    <t>Philadelphia : Saunders, 1981.</t>
  </si>
  <si>
    <t>Authorized English ed.</t>
  </si>
  <si>
    <t>1997-03-27</t>
  </si>
  <si>
    <t>1992-02-01</t>
  </si>
  <si>
    <t>4020096258:eng</t>
  </si>
  <si>
    <t>8305917</t>
  </si>
  <si>
    <t>991005229019702656</t>
  </si>
  <si>
    <t>2269325810002656</t>
  </si>
  <si>
    <t>9780721655536</t>
  </si>
  <si>
    <t>32285000933118</t>
  </si>
  <si>
    <t>893607047</t>
  </si>
  <si>
    <t>RM701 .T68</t>
  </si>
  <si>
    <t>0                      RM 0701000T  68</t>
  </si>
  <si>
    <t>Careers in physical rehabilitation therapy / by Halima Touré.</t>
  </si>
  <si>
    <t>Touré, Halima.</t>
  </si>
  <si>
    <t>New York : Watts, 1977.</t>
  </si>
  <si>
    <t>A Career concise guide</t>
  </si>
  <si>
    <t>2001-12-02</t>
  </si>
  <si>
    <t>1991-10-28</t>
  </si>
  <si>
    <t>6757610:eng</t>
  </si>
  <si>
    <t>2929209</t>
  </si>
  <si>
    <t>991004286749702656</t>
  </si>
  <si>
    <t>2267745240002656</t>
  </si>
  <si>
    <t>9780531013069</t>
  </si>
  <si>
    <t>32285000802172</t>
  </si>
  <si>
    <t>893442433</t>
  </si>
  <si>
    <t>RM705 .E96 1999</t>
  </si>
  <si>
    <t>0                      RM 0705000E  96          1999</t>
  </si>
  <si>
    <t>Expertise in physical therapy practice / Gail M. Jensen ... [et al.] ; with forewords by Ruth B. Purtilo, Jules Rothstein.</t>
  </si>
  <si>
    <t>Boston : Butterworth-Heinemann, c1999.</t>
  </si>
  <si>
    <t>1999</t>
  </si>
  <si>
    <t>2006-10-10</t>
  </si>
  <si>
    <t>1999-08-18</t>
  </si>
  <si>
    <t>56406535:eng</t>
  </si>
  <si>
    <t>40940132</t>
  </si>
  <si>
    <t>991001746529702656</t>
  </si>
  <si>
    <t>2264288560002656</t>
  </si>
  <si>
    <t>9780750690409</t>
  </si>
  <si>
    <t>32285003582565</t>
  </si>
  <si>
    <t>893684594</t>
  </si>
  <si>
    <t>RM719 .S6</t>
  </si>
  <si>
    <t>0                      RM 0719000S  6</t>
  </si>
  <si>
    <t>Essentials of kinesiology; a laboratory manual [by] Dale W. Spence.</t>
  </si>
  <si>
    <t>Spence, Dale W.</t>
  </si>
  <si>
    <t>Philadelphia, Lea &amp; Febiger, 1975.</t>
  </si>
  <si>
    <t>Health education, physical education, and recreation series</t>
  </si>
  <si>
    <t>2008-07-23</t>
  </si>
  <si>
    <t>1993-03-18</t>
  </si>
  <si>
    <t>1604488:eng</t>
  </si>
  <si>
    <t>801646</t>
  </si>
  <si>
    <t>991003278539702656</t>
  </si>
  <si>
    <t>2270061450002656</t>
  </si>
  <si>
    <t>9780812104929</t>
  </si>
  <si>
    <t>32285001575702</t>
  </si>
  <si>
    <t>893441123</t>
  </si>
  <si>
    <t>RM723.A28 2007</t>
  </si>
  <si>
    <t>0                      RM 0723000A  28          2007</t>
  </si>
  <si>
    <t>Acupressure taping : the practice of acutaping for chronic pain and injuries / Hans-Ulrich Hecker and Kay Liebchen ; translated from the German by Katja Lueders and Rafael Lorenzo.</t>
  </si>
  <si>
    <t>Hecker, Hans-Ulrich.</t>
  </si>
  <si>
    <t>Rochester, Vt. : Healing Arts Press, c2007.</t>
  </si>
  <si>
    <t>2007</t>
  </si>
  <si>
    <t>2007-09-05</t>
  </si>
  <si>
    <t>2007-07-18</t>
  </si>
  <si>
    <t>62043633:eng</t>
  </si>
  <si>
    <t>76141218</t>
  </si>
  <si>
    <t>991005096369702656</t>
  </si>
  <si>
    <t>2264504940002656</t>
  </si>
  <si>
    <t>9781594771484</t>
  </si>
  <si>
    <t>32285005319966</t>
  </si>
  <si>
    <t>893526888</t>
  </si>
  <si>
    <t>RM725 .C582 2009</t>
  </si>
  <si>
    <t>0                      RM 0725000C  582         2009</t>
  </si>
  <si>
    <t>Clinical exercise physiology / Jonathan K. Ehrman ... [et al.], editors.</t>
  </si>
  <si>
    <t>Champaign, IL : Human Kinetics, c2009.</t>
  </si>
  <si>
    <t>2009</t>
  </si>
  <si>
    <t>2009-03-16</t>
  </si>
  <si>
    <t>56880895:eng</t>
  </si>
  <si>
    <t>229430519</t>
  </si>
  <si>
    <t>991005297019702656</t>
  </si>
  <si>
    <t>2270853440002656</t>
  </si>
  <si>
    <t>9780736065658</t>
  </si>
  <si>
    <t>32285005509517</t>
  </si>
  <si>
    <t>893437488</t>
  </si>
  <si>
    <t>RM725 .E9 1992</t>
  </si>
  <si>
    <t>0                      RM 0725000E  9           1992</t>
  </si>
  <si>
    <t>Exercise and disease / [edited by] Ronald R. Watson and Marianne Eisinger.</t>
  </si>
  <si>
    <t>Boca Raton : CRC Press, c1992.</t>
  </si>
  <si>
    <t>Nutrition in exercise and sport</t>
  </si>
  <si>
    <t>2005-11-19</t>
  </si>
  <si>
    <t>1993-02-09</t>
  </si>
  <si>
    <t>353411428:eng</t>
  </si>
  <si>
    <t>25164454</t>
  </si>
  <si>
    <t>991001982679702656</t>
  </si>
  <si>
    <t>2256956060002656</t>
  </si>
  <si>
    <t>9780849379123</t>
  </si>
  <si>
    <t>32285001495224</t>
  </si>
  <si>
    <t>893414686</t>
  </si>
  <si>
    <t>RM725 .E915 1994</t>
  </si>
  <si>
    <t>0                      RM 0725000E  915         1994</t>
  </si>
  <si>
    <t>Exercise for prevention and treatment of illness / [edited by] Linn Goldberg, Diane L. Elliot.</t>
  </si>
  <si>
    <t>Philadelphia : F.A. Davis, 1994.</t>
  </si>
  <si>
    <t>2001-09-21</t>
  </si>
  <si>
    <t>1995-05-15</t>
  </si>
  <si>
    <t>31379672:eng</t>
  </si>
  <si>
    <t>29565000</t>
  </si>
  <si>
    <t>991002280349702656</t>
  </si>
  <si>
    <t>2255654440002656</t>
  </si>
  <si>
    <t>9780803641631</t>
  </si>
  <si>
    <t>32285002039625</t>
  </si>
  <si>
    <t>893779631</t>
  </si>
  <si>
    <t>RM725 .G75 1998</t>
  </si>
  <si>
    <t>0                      RM 0725000G  75          1998</t>
  </si>
  <si>
    <t>Client-centered exercise prescription / John C. Griffin.</t>
  </si>
  <si>
    <t>Griffin, John C.</t>
  </si>
  <si>
    <t>Champaign, IL : Human Kinetics, c1998.</t>
  </si>
  <si>
    <t>2010-04-29</t>
  </si>
  <si>
    <t>2001-01-30</t>
  </si>
  <si>
    <t>645125:eng</t>
  </si>
  <si>
    <t>37947167</t>
  </si>
  <si>
    <t>991003353279702656</t>
  </si>
  <si>
    <t>2268338750002656</t>
  </si>
  <si>
    <t>9780880117074</t>
  </si>
  <si>
    <t>32285004292602</t>
  </si>
  <si>
    <t>893441210</t>
  </si>
  <si>
    <t>RM725 .L5 1978</t>
  </si>
  <si>
    <t>0                      RM 0725000L  5           1978</t>
  </si>
  <si>
    <t>Therapeutic exercise / edited by John V. Basmajian.</t>
  </si>
  <si>
    <t>Baltimore : Williams &amp; Wilkins, c1978, 1982 printing.</t>
  </si>
  <si>
    <t>3d ed.</t>
  </si>
  <si>
    <t>Rehabilitation medicine library</t>
  </si>
  <si>
    <t>1993-03-16</t>
  </si>
  <si>
    <t>1992-02-19</t>
  </si>
  <si>
    <t>54177767:eng</t>
  </si>
  <si>
    <t>3203260</t>
  </si>
  <si>
    <t>991001779839702656</t>
  </si>
  <si>
    <t>2268825400002656</t>
  </si>
  <si>
    <t>9780683004335</t>
  </si>
  <si>
    <t>32285000981828</t>
  </si>
  <si>
    <t>893334598</t>
  </si>
  <si>
    <t>RM725 .L583 2007</t>
  </si>
  <si>
    <t>0                      RM 0725000L  583         2007</t>
  </si>
  <si>
    <t>The body mind soul solution : healing emotional pain through exercise / Bob Livingstone.</t>
  </si>
  <si>
    <t>Livingstone, Bob.</t>
  </si>
  <si>
    <t>New York : Pegasus Books, 2007.</t>
  </si>
  <si>
    <t>1st Pegasus Books ed.</t>
  </si>
  <si>
    <t>2008-10-07</t>
  </si>
  <si>
    <t>2008-06-26</t>
  </si>
  <si>
    <t>4710742255:eng</t>
  </si>
  <si>
    <t>173275302</t>
  </si>
  <si>
    <t>991005220179702656</t>
  </si>
  <si>
    <t>2256249200002656</t>
  </si>
  <si>
    <t>9781933648545</t>
  </si>
  <si>
    <t>32285005446934</t>
  </si>
  <si>
    <t>893777045</t>
  </si>
  <si>
    <t>RM725 .P64 1990</t>
  </si>
  <si>
    <t>0                      RM 0725000P  64          1990</t>
  </si>
  <si>
    <t>Exercise in health and disease : evaluation and prescription for prevention and rehabilitation / Michael L. Pollock, Jack H. Wilmore.</t>
  </si>
  <si>
    <t>Pollock, Michael L.</t>
  </si>
  <si>
    <t>Philadelphia : W.B. Saunders, 1990.</t>
  </si>
  <si>
    <t>1990</t>
  </si>
  <si>
    <t>2000-05-05</t>
  </si>
  <si>
    <t>1991-05-08</t>
  </si>
  <si>
    <t>2706735:eng</t>
  </si>
  <si>
    <t>20092898</t>
  </si>
  <si>
    <t>991001537539702656</t>
  </si>
  <si>
    <t>2254722780002656</t>
  </si>
  <si>
    <t>9780721629483</t>
  </si>
  <si>
    <t>32285000571850</t>
  </si>
  <si>
    <t>893885347</t>
  </si>
  <si>
    <t>RM725 .R395 2001</t>
  </si>
  <si>
    <t>0                      RM 0725000R  395         2001</t>
  </si>
  <si>
    <t>Resistance training for health and rehabilitation / James E. Graves, Barry A. Franklin, editors.</t>
  </si>
  <si>
    <t>Champaign, IL : Human Kinetics, 2001.</t>
  </si>
  <si>
    <t>2002-01-29</t>
  </si>
  <si>
    <t>35748166:eng</t>
  </si>
  <si>
    <t>46660577</t>
  </si>
  <si>
    <t>991003692689702656</t>
  </si>
  <si>
    <t>2260542440002656</t>
  </si>
  <si>
    <t>9780736001786</t>
  </si>
  <si>
    <t>32285004451117</t>
  </si>
  <si>
    <t>893512248</t>
  </si>
  <si>
    <t>RM725 .R55 1994</t>
  </si>
  <si>
    <t>0                      RM 0725000R  55          1994</t>
  </si>
  <si>
    <t>Fitness and rehabilitation programs for special populations / James H. Rimmer.</t>
  </si>
  <si>
    <t>Rimmer, James H.</t>
  </si>
  <si>
    <t>Madison, Wis. : WCB Brown &amp; Benchmark Publishers, c1994.</t>
  </si>
  <si>
    <t>wiu</t>
  </si>
  <si>
    <t>2009-03-03</t>
  </si>
  <si>
    <t>1994-05-26</t>
  </si>
  <si>
    <t>14463061:eng</t>
  </si>
  <si>
    <t>29676604</t>
  </si>
  <si>
    <t>991002290259702656</t>
  </si>
  <si>
    <t>2267418530002656</t>
  </si>
  <si>
    <t>9780697116192</t>
  </si>
  <si>
    <t>32285001898864</t>
  </si>
  <si>
    <t>893408927</t>
  </si>
  <si>
    <t>RM725.I76 D85 1995</t>
  </si>
  <si>
    <t>0                      RM 0725000I  76                 D  85          1995</t>
  </si>
  <si>
    <t>Isokinetics : muscle testing, interpretation, and clinical applications / Zeevi Dvir.</t>
  </si>
  <si>
    <t>Dvir, Zeevi.</t>
  </si>
  <si>
    <t>Edinburgh ; New York : Churchill Livingstone, 1995.</t>
  </si>
  <si>
    <t>2000-09-15</t>
  </si>
  <si>
    <t>1995-05-01</t>
  </si>
  <si>
    <t>701061:eng</t>
  </si>
  <si>
    <t>30518282</t>
  </si>
  <si>
    <t>991002344379702656</t>
  </si>
  <si>
    <t>2267161850002656</t>
  </si>
  <si>
    <t>9780443047947</t>
  </si>
  <si>
    <t>32285002037066</t>
  </si>
  <si>
    <t>893529853</t>
  </si>
  <si>
    <t>RM727.H8 A68 1987</t>
  </si>
  <si>
    <t>0                      RM 0727000H  8                  A  68          1987</t>
  </si>
  <si>
    <t>Aquatics for special populations / YMCA of the USA.</t>
  </si>
  <si>
    <t>Champaign, IL : Published for the YMCA of the USA by Human Kinetics Publishers : Book may be purchased from the YMCA Program Store, c1987.</t>
  </si>
  <si>
    <t>1987</t>
  </si>
  <si>
    <t>2000-01-24</t>
  </si>
  <si>
    <t>8477432:eng</t>
  </si>
  <si>
    <t>14964443</t>
  </si>
  <si>
    <t>991000971549702656</t>
  </si>
  <si>
    <t>2266650130002656</t>
  </si>
  <si>
    <t>9780873220972</t>
  </si>
  <si>
    <t>32285001529980</t>
  </si>
  <si>
    <t>893791045</t>
  </si>
  <si>
    <t>RM727.I76 P47 1993</t>
  </si>
  <si>
    <t>0                      RM 0727000I  76                 P  47          1993</t>
  </si>
  <si>
    <t>Isokinetic exercise and assessment / David H. Perrin.</t>
  </si>
  <si>
    <t>Perrin, David H., 1954-</t>
  </si>
  <si>
    <t>Champaign, IL : Human Kinetics Publishers, c1993.</t>
  </si>
  <si>
    <t>2000-04-11</t>
  </si>
  <si>
    <t>375486:eng</t>
  </si>
  <si>
    <t>26933001</t>
  </si>
  <si>
    <t>991002099299702656</t>
  </si>
  <si>
    <t>2263863040002656</t>
  </si>
  <si>
    <t>9780873224642</t>
  </si>
  <si>
    <t>32285003676631</t>
  </si>
  <si>
    <t>893621904</t>
  </si>
  <si>
    <t>RM727.W34 Y36 1990</t>
  </si>
  <si>
    <t>0                      RM 0727000W  34                 Y  36          1990</t>
  </si>
  <si>
    <t>Walking medicine : the lifetime guide to preventive and rehabilitative exercisewalking programs / by Gary Yanker and Kathy Burton, and 50 medical experts.</t>
  </si>
  <si>
    <t>Yanker, Gary.</t>
  </si>
  <si>
    <t>New York : McGraw-Hill, c1990.</t>
  </si>
  <si>
    <t>2008-02-24</t>
  </si>
  <si>
    <t>1990-09-20</t>
  </si>
  <si>
    <t>203279425:eng</t>
  </si>
  <si>
    <t>20994184</t>
  </si>
  <si>
    <t>991001638469702656</t>
  </si>
  <si>
    <t>2270065370002656</t>
  </si>
  <si>
    <t>32285000277540</t>
  </si>
  <si>
    <t>893328246</t>
  </si>
  <si>
    <t>RM735.45 .O735 2003</t>
  </si>
  <si>
    <t>0                      RM 0735450O  735         2003</t>
  </si>
  <si>
    <t>Ordinary miracles : true stories about overcoming obstacles &amp; surviving catastrophes / edited by Deborah R. Labovitz.</t>
  </si>
  <si>
    <t>Thorofare, N.J. : Slack, c2003.</t>
  </si>
  <si>
    <t>2007-10-25</t>
  </si>
  <si>
    <t>2004-12-15</t>
  </si>
  <si>
    <t>1046508:eng</t>
  </si>
  <si>
    <t>50003266</t>
  </si>
  <si>
    <t>991004389379702656</t>
  </si>
  <si>
    <t>2268830280002656</t>
  </si>
  <si>
    <t>9781556425714</t>
  </si>
  <si>
    <t>32285005017578</t>
  </si>
  <si>
    <t>893618612</t>
  </si>
  <si>
    <t>RM736.7 .G35 1991</t>
  </si>
  <si>
    <t>0                      RM 0736700G  35          1991</t>
  </si>
  <si>
    <t>Games, sports, and exercises for the physically disabled / Ronald C. Adams, Jeffrey A. McCubbin.</t>
  </si>
  <si>
    <t>2001-04-18</t>
  </si>
  <si>
    <t>1990-11-09</t>
  </si>
  <si>
    <t>3372702584:eng</t>
  </si>
  <si>
    <t>21080859</t>
  </si>
  <si>
    <t>991001651059702656</t>
  </si>
  <si>
    <t>2255619260002656</t>
  </si>
  <si>
    <t>9780812111804</t>
  </si>
  <si>
    <t>32285000314004</t>
  </si>
  <si>
    <t>893334457</t>
  </si>
  <si>
    <t>RM849 .B63 1969</t>
  </si>
  <si>
    <t>0                      RM 0849000B  63          1969</t>
  </si>
  <si>
    <t>The rays : a history of radiology in the United States and Canada / [by] Ruth and Edward Brecher.</t>
  </si>
  <si>
    <t>Brecher, Ruth.</t>
  </si>
  <si>
    <t>Huntington, N.Y. : Krieger Publ. Co. ; Baltimore : Williams and Wilkins, 1969.</t>
  </si>
  <si>
    <t>2009-10-09</t>
  </si>
  <si>
    <t>1169676:eng</t>
  </si>
  <si>
    <t>51034</t>
  </si>
  <si>
    <t>991000123659702656</t>
  </si>
  <si>
    <t>2258611880002656</t>
  </si>
  <si>
    <t>32285001565018</t>
  </si>
  <si>
    <t>893771410</t>
  </si>
  <si>
    <t>RM849 .H5</t>
  </si>
  <si>
    <t>0                      RM 0849000H  5</t>
  </si>
  <si>
    <t>Radiation dosimetry, edited by Gerald J. Hine and Gordon L. Brownell.</t>
  </si>
  <si>
    <t>Hine, Gerald J. (Gerald John), 1916-, editor.</t>
  </si>
  <si>
    <t>New York, Academic Press, 1956.</t>
  </si>
  <si>
    <t>1956</t>
  </si>
  <si>
    <t>1998-11-02</t>
  </si>
  <si>
    <t>60895678:eng</t>
  </si>
  <si>
    <t>1111110</t>
  </si>
  <si>
    <t>991003545029702656</t>
  </si>
  <si>
    <t>2269747490002656</t>
  </si>
  <si>
    <t>32285001565026</t>
  </si>
  <si>
    <t>893781114</t>
  </si>
  <si>
    <t>RM849 .R32</t>
  </si>
  <si>
    <t>0                      RM 0849000R  32</t>
  </si>
  <si>
    <t>Radiation dosimetry.</t>
  </si>
  <si>
    <t>V.2</t>
  </si>
  <si>
    <t>New York, Academic Press, 1966-69 [v. 1, 1968]</t>
  </si>
  <si>
    <t>2d ed. [Editors: Frank H. Attix, William C. Roesch, Eugene Tochilin]</t>
  </si>
  <si>
    <t>2009-05-03</t>
  </si>
  <si>
    <t>2864162200:eng</t>
  </si>
  <si>
    <t>288832</t>
  </si>
  <si>
    <t>991002216259702656</t>
  </si>
  <si>
    <t>2264016650002656</t>
  </si>
  <si>
    <t>32285003094520</t>
  </si>
  <si>
    <t>893703814</t>
  </si>
  <si>
    <t>32285003094546</t>
  </si>
  <si>
    <t>893697485</t>
  </si>
  <si>
    <t>V.1</t>
  </si>
  <si>
    <t>32285003094504</t>
  </si>
  <si>
    <t>893703815</t>
  </si>
  <si>
    <t>V.3</t>
  </si>
  <si>
    <t>32285003094538</t>
  </si>
  <si>
    <t>893697484</t>
  </si>
  <si>
    <t>RM863 .K65 1985</t>
  </si>
  <si>
    <t>0                      RM 0863000K  65          1985</t>
  </si>
  <si>
    <t>Cryotherapy : theory, technique and physiology / Kenneth L. Knight.</t>
  </si>
  <si>
    <t>Knight, Kenneth L.</t>
  </si>
  <si>
    <t>Chattanooga, Tenn. ; Chattanooga Corp., Education Division, c1985.</t>
  </si>
  <si>
    <t>tnu</t>
  </si>
  <si>
    <t>2009-09-29</t>
  </si>
  <si>
    <t>1992-05-01</t>
  </si>
  <si>
    <t>890644878:eng</t>
  </si>
  <si>
    <t>17918673</t>
  </si>
  <si>
    <t>991000672389702656</t>
  </si>
  <si>
    <t>2271596980002656</t>
  </si>
  <si>
    <t>32285001090926</t>
  </si>
  <si>
    <t>893608169</t>
  </si>
  <si>
    <t>RM865 .T46 1982</t>
  </si>
  <si>
    <t>0                      RM 0865000T  46          1982</t>
  </si>
  <si>
    <t>Therapeutic heat and cold / edited by Justus F. Lehmann.</t>
  </si>
  <si>
    <t>Baltimore : Williams &amp; Wilkins, c1982.</t>
  </si>
  <si>
    <t>54459081:eng</t>
  </si>
  <si>
    <t>7739828</t>
  </si>
  <si>
    <t>991005156039702656</t>
  </si>
  <si>
    <t>2256450240002656</t>
  </si>
  <si>
    <t>9780683049077</t>
  </si>
  <si>
    <t>32285001565034</t>
  </si>
  <si>
    <t>893619555</t>
  </si>
  <si>
    <t>RM872 .S68 1995</t>
  </si>
  <si>
    <t>0                      RM 0872000S  68          1995</t>
  </si>
  <si>
    <t>Clinical electrophysiology : electrotherapy and electrophysiologic testing / Andrew J. Robinson, Lynn Snyder-Mackler.</t>
  </si>
  <si>
    <t>Robinson, Andrew J., Ph. D.</t>
  </si>
  <si>
    <t>1998-05-28</t>
  </si>
  <si>
    <t>2005-12-11</t>
  </si>
  <si>
    <t>1995-10-18</t>
  </si>
  <si>
    <t>291311297:eng</t>
  </si>
  <si>
    <t>31074941</t>
  </si>
  <si>
    <t>991001798559702656</t>
  </si>
  <si>
    <t>2269323700002656</t>
  </si>
  <si>
    <t>9780683078176</t>
  </si>
  <si>
    <t>32285002068616</t>
  </si>
  <si>
    <t>893414523</t>
  </si>
  <si>
    <t>RM921 .M33</t>
  </si>
  <si>
    <t>0                      RM 0921000M  33</t>
  </si>
  <si>
    <t>The art of counseling / by Rollo May ; introduction by Harry Bone.</t>
  </si>
  <si>
    <t>May, Rollo.</t>
  </si>
  <si>
    <t>New York : Abingdon Press, c1939.</t>
  </si>
  <si>
    <t>1939</t>
  </si>
  <si>
    <t>Apex books</t>
  </si>
  <si>
    <t>2007-05-16</t>
  </si>
  <si>
    <t>1992-02-14</t>
  </si>
  <si>
    <t>285331:eng</t>
  </si>
  <si>
    <t>24336763</t>
  </si>
  <si>
    <t>991001927579702656</t>
  </si>
  <si>
    <t>2270816390002656</t>
  </si>
  <si>
    <t>32285000958800</t>
  </si>
  <si>
    <t>893596842</t>
  </si>
  <si>
    <t>Keep in Collection? (Yes/No)</t>
  </si>
  <si>
    <t>QV S793p 1911</t>
  </si>
  <si>
    <t>0                      QV 0000000S  793p        1911</t>
  </si>
  <si>
    <t>Aids to practical pharmacy for medical students / Arthur C. L. Stark.</t>
  </si>
  <si>
    <t>Stark, Arthur Campbell.</t>
  </si>
  <si>
    <t>London : Baillière, Tindall &amp; Cox, 1913, c1911.</t>
  </si>
  <si>
    <t>1911</t>
  </si>
  <si>
    <t>2d ed.</t>
  </si>
  <si>
    <t>lau</t>
  </si>
  <si>
    <t xml:space="preserve">QV </t>
  </si>
  <si>
    <t>1992-03-27</t>
  </si>
  <si>
    <t>1988-01-27</t>
  </si>
  <si>
    <t>QV 4 A839p 1987</t>
  </si>
  <si>
    <t>0                      QV 0004000A  839p        1987</t>
  </si>
  <si>
    <t>Pharmacology, an introductory text / Mary Kaye Asperheim.</t>
  </si>
  <si>
    <t>Asperheim, Mary Kaye.</t>
  </si>
  <si>
    <t>Philadelphia : Saunders, c1987.</t>
  </si>
  <si>
    <t>6th ed.</t>
  </si>
  <si>
    <t>xxu</t>
  </si>
  <si>
    <t>2001-09-13</t>
  </si>
  <si>
    <t>1987-09-27</t>
  </si>
  <si>
    <t>QV 4 A839pa 1985</t>
  </si>
  <si>
    <t>0                      QV 0004000A  839pa       1985</t>
  </si>
  <si>
    <t>Pharmacologic basis of patient care / Mary K. Asperheim.</t>
  </si>
  <si>
    <t>Philadelphia : Saunders, c1985.</t>
  </si>
  <si>
    <t>5th ed.</t>
  </si>
  <si>
    <t>1990-09-16</t>
  </si>
  <si>
    <t>QV 4 B3102 1982</t>
  </si>
  <si>
    <t>0                      QV 0004000B  3102        1982</t>
  </si>
  <si>
    <t>Basic &amp; clinical pharmacology / edited by Bertram G. Katzung.</t>
  </si>
  <si>
    <t>3</t>
  </si>
  <si>
    <t>Los Altos, Calif. : Lange Medical Publications, c1982.</t>
  </si>
  <si>
    <t>Concise medical library for practitioner and student</t>
  </si>
  <si>
    <t>2008-10-19</t>
  </si>
  <si>
    <t>QV 4 B3102 1992</t>
  </si>
  <si>
    <t>0                      QV 0004000B  3102        1992</t>
  </si>
  <si>
    <t>Norwalk, Conn. : Appleton &amp; Lange, c1992.</t>
  </si>
  <si>
    <t>ctu</t>
  </si>
  <si>
    <t>2009-01-14</t>
  </si>
  <si>
    <t>1992-06-05</t>
  </si>
  <si>
    <t>QV 4 B3102 1995</t>
  </si>
  <si>
    <t>0                      QV 0004000B  3102        1995</t>
  </si>
  <si>
    <t>Norwalk, Conn. : Appleton &amp; Lange, c1995.</t>
  </si>
  <si>
    <t>1995-05-11</t>
  </si>
  <si>
    <t>QV 4 B311 1982</t>
  </si>
  <si>
    <t>0                      QV 0004000B  311         1982</t>
  </si>
  <si>
    <t>Basic pharmacology in medicine / Joseph R. DiPalma, editor.</t>
  </si>
  <si>
    <t>New York : McGraw-Hill, c1981.</t>
  </si>
  <si>
    <t>1993-11-28</t>
  </si>
  <si>
    <t>1989-12-19</t>
  </si>
  <si>
    <t>QV 4 B477m 1983</t>
  </si>
  <si>
    <t>0                      QV 0004000B  477m        1983</t>
  </si>
  <si>
    <t>Medical pharmacology / by Peter J. Bentley.</t>
  </si>
  <si>
    <t>Bentley, P. J.</t>
  </si>
  <si>
    <t>New Hyde Park, N.Y. : Medical Examination Pub. Co., c1983.</t>
  </si>
  <si>
    <t>1983</t>
  </si>
  <si>
    <t>Medical outline series</t>
  </si>
  <si>
    <t>1999-07-22</t>
  </si>
  <si>
    <t>QV 4 C5678e 1982</t>
  </si>
  <si>
    <t>0                      QV 0004000C  5678e       1982</t>
  </si>
  <si>
    <t>Essentials of pharmacology / Margaret M. Cibulskis ; consultant, Freddy A. Grimm.</t>
  </si>
  <si>
    <t>Lannon, Margaret C.</t>
  </si>
  <si>
    <t>Philadelphia : Lippincott, c1982.</t>
  </si>
  <si>
    <t>QV 4 C596g 1991</t>
  </si>
  <si>
    <t>0                      QV 0004000C  596g        1991</t>
  </si>
  <si>
    <t>Goth's medical pharamacology.</t>
  </si>
  <si>
    <t>Clark, Wesley G.</t>
  </si>
  <si>
    <t>St. Louis : Mosby-Year Book, c1991.</t>
  </si>
  <si>
    <t>13th ed. / Wesley G. Clark, D. Craig Brater, Alice R. Johnson.</t>
  </si>
  <si>
    <t>mou</t>
  </si>
  <si>
    <t>2000-04-24</t>
  </si>
  <si>
    <t>1992-02-13</t>
  </si>
  <si>
    <t>QV 4 C622m 1984</t>
  </si>
  <si>
    <t>0                      QV 0004000C  622m        1984</t>
  </si>
  <si>
    <t>Mosby's handbook of pharmacology in nursing.</t>
  </si>
  <si>
    <t>Clayton, Bruce D., 1947-</t>
  </si>
  <si>
    <t>St. Louis : Mosby, 1984.</t>
  </si>
  <si>
    <t>1984</t>
  </si>
  <si>
    <t>3rd ed. / Bruce D. Clayton.</t>
  </si>
  <si>
    <t>1991-09-16</t>
  </si>
  <si>
    <t>QV 4 D793 1997</t>
  </si>
  <si>
    <t>0                      QV 0004000D  793         1997</t>
  </si>
  <si>
    <t>Avery's drug treatment : a guide to the properties, choice, therapeutic use and economic value of drugs in disease management / edited by Trevor M. Speight and Nicholas H.G. Holford.</t>
  </si>
  <si>
    <t>Auckland, N.Z. ; Chester [Eng.] ; Philadelphia : Adis International, c1997.</t>
  </si>
  <si>
    <t xml:space="preserve">nz </t>
  </si>
  <si>
    <t>1997-06-09</t>
  </si>
  <si>
    <t>1997-04-29</t>
  </si>
  <si>
    <t>QV 4 E21p 1992</t>
  </si>
  <si>
    <t>0                      QV 0004000E  21p         1992</t>
  </si>
  <si>
    <t>Physical therapy pharmacology / Lynne Eddy.</t>
  </si>
  <si>
    <t>Eddy, Lynne.</t>
  </si>
  <si>
    <t>St. Louis : Mosby Year Book, c1992.</t>
  </si>
  <si>
    <t>2000-06-14</t>
  </si>
  <si>
    <t>1992-02-20</t>
  </si>
  <si>
    <t>QV 4 E78 1983</t>
  </si>
  <si>
    <t>0                      QV 0004000E  78          1983</t>
  </si>
  <si>
    <t>Essentials of pharmacology : introduction to the principles of drug action / editors, John A. Bevan, Jeremy H. Thompson.</t>
  </si>
  <si>
    <t>Philadelphia : Harper &amp; Row, 1983.</t>
  </si>
  <si>
    <t>2004-12-13</t>
  </si>
  <si>
    <t>1987-09-28</t>
  </si>
  <si>
    <t>QV 4 G6532 1996</t>
  </si>
  <si>
    <t>0                      QV 0004000G  6532        1996</t>
  </si>
  <si>
    <t>Goodman &amp; Gilman's the pharmacological basis of therapeutics.</t>
  </si>
  <si>
    <t>2</t>
  </si>
  <si>
    <t>New York : McGraw-Hill, Health Professions Division, c1996.</t>
  </si>
  <si>
    <t>9th ed. / Joel G. G. Hardman, Alfred Gilman, Lee L. Limbird.</t>
  </si>
  <si>
    <t>2004-11-14</t>
  </si>
  <si>
    <t>1996-01-12</t>
  </si>
  <si>
    <t>QV 4 G684m 1988</t>
  </si>
  <si>
    <t>0                      QV 0004000G  684m        1988</t>
  </si>
  <si>
    <t>Goth's medical pharmacology.</t>
  </si>
  <si>
    <t>Goth, Andres, 1914-1990.</t>
  </si>
  <si>
    <t>St. Louis : Mosby, c1988.</t>
  </si>
  <si>
    <t>12th ed. / Wesley G. Clark, D. Craig Brater, Alice R. Johnson.</t>
  </si>
  <si>
    <t>2004-08-24</t>
  </si>
  <si>
    <t>1990-10-05</t>
  </si>
  <si>
    <t>QV 4 H148p 1986</t>
  </si>
  <si>
    <t>0                      QV 0004000H  148p        1986</t>
  </si>
  <si>
    <t>Mosby's pharmacology in nursing / Anne Burgess Hahn, Sandy Jeanne Klarman Oestreich, Robert L. Barkin.</t>
  </si>
  <si>
    <t>Hahn, Anne Burgess.</t>
  </si>
  <si>
    <t>St. Louis : Mosby, c1986.</t>
  </si>
  <si>
    <t>16th ed.</t>
  </si>
  <si>
    <t>1997-06-24</t>
  </si>
  <si>
    <t>QV 4 H675b 1987</t>
  </si>
  <si>
    <t>0                      QV 0004000H  675b        1987</t>
  </si>
  <si>
    <t>Basic pharmacology for health occupations / Henry Hitner, Barbara T. Nagle.</t>
  </si>
  <si>
    <t>Hitner, Henry.</t>
  </si>
  <si>
    <t>Encino, Calif. : Glencoe Publishing Co., c1987.</t>
  </si>
  <si>
    <t>1994-02-23</t>
  </si>
  <si>
    <t>QV 4 H918 1991</t>
  </si>
  <si>
    <t>0                      QV 0004000H  918         1991</t>
  </si>
  <si>
    <t>Human pharmacology : molecular-to-clinical / Lemuel B. Wingard, Jr. ... [et al.].</t>
  </si>
  <si>
    <t>St. Louis : Mosby Year Book, c1991.</t>
  </si>
  <si>
    <t>2006-07-21</t>
  </si>
  <si>
    <t>1991-09-19</t>
  </si>
  <si>
    <t>QV4 H918 1998</t>
  </si>
  <si>
    <t>0                      QV 0004000H  918         1998</t>
  </si>
  <si>
    <t>Human pharmacology : molecular to clinical / [edited by] Theodore M. Brody, Joseph Larner, Kenneth P. Minneman.</t>
  </si>
  <si>
    <t>St. Louis : Mosby, c1998.</t>
  </si>
  <si>
    <t>2006-10-03</t>
  </si>
  <si>
    <t>2002-07-09</t>
  </si>
  <si>
    <t>QV4 H918 2005</t>
  </si>
  <si>
    <t>0                      QV 0004000H  918         2005</t>
  </si>
  <si>
    <t>Brody's human pharmacology : molecular to clinical / editors, Kenneth P. Minneman, Lynn Wecker ; consulting editors, Joseph Larner, Theodrore M. Brody.</t>
  </si>
  <si>
    <t>Philadelphia, Pa. : Elsvier Mosby, c2005.</t>
  </si>
  <si>
    <t>2010-01-03</t>
  </si>
  <si>
    <t>2006-01-12</t>
  </si>
  <si>
    <t>QV 4 I58 1986 sec.120</t>
  </si>
  <si>
    <t>0                      QV 0004000I  58          1986                                        sec.120</t>
  </si>
  <si>
    <t>Methods of drug delivery / section editor, Garret M. Ihler.</t>
  </si>
  <si>
    <t>Oxford ; New York : Pergamon Press, 1986.</t>
  </si>
  <si>
    <t>International encyclopedia of pharmacology and therapeutics ; section 120</t>
  </si>
  <si>
    <t>1988-10-04</t>
  </si>
  <si>
    <t>1988-08-25</t>
  </si>
  <si>
    <t>QV 4 I58 1987 sec.127</t>
  </si>
  <si>
    <t>0                      QV 0004000I  58          1987                                        sec.127</t>
  </si>
  <si>
    <t>Antibiotic inhibitors of bacterial cell wall biosynthesis / section editor, Donald J. Tipper.</t>
  </si>
  <si>
    <t>Oxford ; New York : Pergamon Press, c1987.</t>
  </si>
  <si>
    <t>International encyclopedia of pharmacology and therapeutics ; section 127</t>
  </si>
  <si>
    <t>1998-10-11</t>
  </si>
  <si>
    <t>1988-05-10</t>
  </si>
  <si>
    <t>QV 4 I58 1990 sect.130</t>
  </si>
  <si>
    <t>0                      QV 0004000I  58          1990                                        sect.130</t>
  </si>
  <si>
    <t>Psychotropic drugs of abuse / specialist subject editor, D.J.K. Balfour.</t>
  </si>
  <si>
    <t>sect.130*</t>
  </si>
  <si>
    <t>New York : Pergamon Press, c1990.</t>
  </si>
  <si>
    <t>International encyclopedia of pharmacology and therapeutics ; section 130</t>
  </si>
  <si>
    <t>1997-11-19</t>
  </si>
  <si>
    <t>1990-08-09</t>
  </si>
  <si>
    <t>QV 4 I618t 1988</t>
  </si>
  <si>
    <t>0                      QV 0004000I  618t        1988</t>
  </si>
  <si>
    <t>Trends in medicinal chemistry '88 : proceedings of the Xth International Symposium on Medicinal Chemistry, Budapest, 15-19 August 1988 / edited by H. van der Goot ... [et al.].</t>
  </si>
  <si>
    <t>International Symposium on Medicinal Chemistry (10th : 1988 : Budapest, Hungary)</t>
  </si>
  <si>
    <t>Amsterdam ; New York : Elsevier, c1989.</t>
  </si>
  <si>
    <t>1989</t>
  </si>
  <si>
    <t xml:space="preserve">ne </t>
  </si>
  <si>
    <t>Pharmacochemistry library ; v. 12</t>
  </si>
  <si>
    <t>1990-03-07</t>
  </si>
  <si>
    <t>1989-07-17</t>
  </si>
  <si>
    <t>QV4 K26p 2003</t>
  </si>
  <si>
    <t>0                      QV 0004000K  26p         2003</t>
  </si>
  <si>
    <t>Pharmacology : a nursing process approach / Joyce LeFever Kee, Evelyn R. Hayes.</t>
  </si>
  <si>
    <t>Kee, Joyce LeFever.</t>
  </si>
  <si>
    <t>Philadelphia : Saunders, c2003.</t>
  </si>
  <si>
    <t>2004-06-10</t>
  </si>
  <si>
    <t>2003-06-09</t>
  </si>
  <si>
    <t>QV 4 K26p 2009</t>
  </si>
  <si>
    <t>0                      QV 0004000K  26p         2009</t>
  </si>
  <si>
    <t>Pharmacology : a nursing process approach / Joyce LeFever Kee, Evelyn R. Hayes, Linda E. McCuistion.</t>
  </si>
  <si>
    <t>[St. Louis, Mo.] : Saunders, c2009.</t>
  </si>
  <si>
    <t>2009-04-30</t>
  </si>
  <si>
    <t>2009-04-29</t>
  </si>
  <si>
    <t>QV 4 K89p 1972</t>
  </si>
  <si>
    <t>0                      QV 0004000K  89p         1972</t>
  </si>
  <si>
    <t>Krantz and Carr's Pharmacologic principles of medical practice : a textbook on pharmacology and therapeutics for students and practitioners of medicine, pharmacy, and dentistry / [by] Domingo M. Aviado. Foreword by Alfred Gellhorn. Appendix by Harry Salem.</t>
  </si>
  <si>
    <t>Krantz, John C. (John Christian), 1899-1983.</t>
  </si>
  <si>
    <t>Baltimore : Williams &amp; Wilkins, [1972]</t>
  </si>
  <si>
    <t>8th ed.</t>
  </si>
  <si>
    <t>2000-01-20</t>
  </si>
  <si>
    <t>1988-01-20</t>
  </si>
  <si>
    <t>QV4 L523p 2004</t>
  </si>
  <si>
    <t>0                      QV 0004000L  523p        2004</t>
  </si>
  <si>
    <t>Pharmacology for nursing care / Richard A. Lehne, in consultation with Linda A. Moore, Leanna J. Crosby, Diane B. Hamilton.</t>
  </si>
  <si>
    <t>Lehne, Richard A., 1943-</t>
  </si>
  <si>
    <t>St. Louis, Mo. : Saunders, c2004.</t>
  </si>
  <si>
    <t>2007-06-01</t>
  </si>
  <si>
    <t>2004-01-21</t>
  </si>
  <si>
    <t>QV 4 L729p 1996</t>
  </si>
  <si>
    <t>0                      QV 0004000L  729p        1996</t>
  </si>
  <si>
    <t>Pharmacology and the nursing process / Linda Lane Lilley, Robert S. Aucker, Joseph A. Albanese ; with contributions by Richard E. Lake, Carol Ruscin.</t>
  </si>
  <si>
    <t>Lilley, Linda Lane.</t>
  </si>
  <si>
    <t>St. Louis : Mosby, c1996.</t>
  </si>
  <si>
    <t>2005-11-16</t>
  </si>
  <si>
    <t>1997-01-17</t>
  </si>
  <si>
    <t>QV 4 M259p 1995</t>
  </si>
  <si>
    <t>0                      QV 0004000M  259p        1995</t>
  </si>
  <si>
    <t>Pharmacology : drug therapy and nursing considerations / Roger T. Malseed, Frederick J. Goldstein, Nancy Balkon.</t>
  </si>
  <si>
    <t>Malseed, Roger T. (Roger Thomas)</t>
  </si>
  <si>
    <t>Philadelphia : Lippincott, c1995.</t>
  </si>
  <si>
    <t>2004-10-15</t>
  </si>
  <si>
    <t>QV 4 M478m 1998</t>
  </si>
  <si>
    <t>0                      QV 0004000M  478m        1998</t>
  </si>
  <si>
    <t>Mosby's pharmacology in nursing / Leda M. McKenry, Evelyn Salerno.</t>
  </si>
  <si>
    <t>McKenry, Leda M.</t>
  </si>
  <si>
    <t>St. Louis, Mo. : Mosby, c1998.</t>
  </si>
  <si>
    <t>20th ed.</t>
  </si>
  <si>
    <t>1998-04-14</t>
  </si>
  <si>
    <t>QV4  M478M 2006 &amp; WORKBOOK</t>
  </si>
  <si>
    <t>0                      QV 0004000M  478M        2006                                        &amp; WORKBOOK</t>
  </si>
  <si>
    <t>Mosby's pharmacology in nursing / Leda McKenry, Ed Tessier, MaryAnn Hogan.</t>
  </si>
  <si>
    <t>St. Louis, Mo. : Elsevier Mosby, c2006.</t>
  </si>
  <si>
    <t>22nd ed.</t>
  </si>
  <si>
    <t>2007-01-24</t>
  </si>
  <si>
    <t>2006-03-30</t>
  </si>
  <si>
    <t>QV 4 M6895 1994</t>
  </si>
  <si>
    <t>0                      QV 0004000M  6895        1994</t>
  </si>
  <si>
    <t>Modern pharmacology / edited by Charles R. Craig, Robert E. Stitzel.</t>
  </si>
  <si>
    <t>Boston : Little, Brown, c1994.</t>
  </si>
  <si>
    <t>2004-11-05</t>
  </si>
  <si>
    <t>1994-08-04</t>
  </si>
  <si>
    <t>QV4 M6898 2004</t>
  </si>
  <si>
    <t>0                      QV 0004000M  6898        2004</t>
  </si>
  <si>
    <t>Modern pharmacology with clinical applications / edited by Charles R. Craig, Robert E. Stitzel.</t>
  </si>
  <si>
    <t>Philadelphia : Lippincott Williams &amp; Wilkins, c2004.</t>
  </si>
  <si>
    <t>2007-11-28</t>
  </si>
  <si>
    <t>2005-11-09</t>
  </si>
  <si>
    <t>QV 4 M698 1997</t>
  </si>
  <si>
    <t>0                      QV 0004000M  698         1997</t>
  </si>
  <si>
    <t>Boston : Little, Brown, c1997.</t>
  </si>
  <si>
    <t>2008-04-25</t>
  </si>
  <si>
    <t>1997-04-14</t>
  </si>
  <si>
    <t>QV 4 S326i 1975</t>
  </si>
  <si>
    <t>0                      QV 0004000S  326i        1975</t>
  </si>
  <si>
    <t>Introductory clinical pharmacology / by Jeanne C. Scherer.</t>
  </si>
  <si>
    <t>Scherer, Jeanne C.</t>
  </si>
  <si>
    <t>Philadelphia : Lippincott, 1975.</t>
  </si>
  <si>
    <t>2001-06-16</t>
  </si>
  <si>
    <t>QV 4 S558n 1993</t>
  </si>
  <si>
    <t>0                      QV 0004000S  558n        1993</t>
  </si>
  <si>
    <t>The nurse, pharmacology, and drug therapy : a prototype approach / Marshal Shlafer.</t>
  </si>
  <si>
    <t>Shlafer, Marshal.</t>
  </si>
  <si>
    <t>Redwood City, Calif. : Addison-Wesley Nursing, c1993.</t>
  </si>
  <si>
    <t>1997-10-30</t>
  </si>
  <si>
    <t>1993-06-01</t>
  </si>
  <si>
    <t>QV 4 S777b 1985</t>
  </si>
  <si>
    <t>0                      QV 0004000S  777b        1985</t>
  </si>
  <si>
    <t>Squire's Basic pharmacology for nurses.</t>
  </si>
  <si>
    <t>Squire, Jessie E.</t>
  </si>
  <si>
    <t>St. Louis : Mosby, c1985.</t>
  </si>
  <si>
    <t>8th ed. / Bruce D. Clayton, Yvonne N. Stock, Jessie E. Squire ; illustrated by Lana Carter Maher.</t>
  </si>
  <si>
    <t>1994-06-21</t>
  </si>
  <si>
    <t>QV 4 S918b 1996</t>
  </si>
  <si>
    <t>0                      QV 0004000S  918b        1996</t>
  </si>
  <si>
    <t>Basic concepts in pharmacology : a student's survival guide / Janet L. Stringer.</t>
  </si>
  <si>
    <t>Stringer, Janet L.</t>
  </si>
  <si>
    <t>2009-05-11</t>
  </si>
  <si>
    <t>1997-09-09</t>
  </si>
  <si>
    <t>QV 4 S979n 1991</t>
  </si>
  <si>
    <t>0                      QV 0004000S  979n        1991</t>
  </si>
  <si>
    <t>Nursing pharmacology : an integrated approach to drug therapy and nursing practice / Alvin K. Swonger, Myrtle P. Matejski.</t>
  </si>
  <si>
    <t>Swonger, Alvin K.</t>
  </si>
  <si>
    <t>Philadelphia : Lippincott, c1991.</t>
  </si>
  <si>
    <t>1995-09-09</t>
  </si>
  <si>
    <t>1991-04-30</t>
  </si>
  <si>
    <t>QV 4 W893e 1992</t>
  </si>
  <si>
    <t>0                      QV 0004000W  893e        1992</t>
  </si>
  <si>
    <t>Essentials of pharmacology for health occupations / Ruth Woodrow.</t>
  </si>
  <si>
    <t>Woodrow, Ruth.</t>
  </si>
  <si>
    <t>Albany, N.Y. : Delmar Publishers, c1992 [i.e. 1991]</t>
  </si>
  <si>
    <t>1998-01-23</t>
  </si>
  <si>
    <t>1992-02-28</t>
  </si>
  <si>
    <t>QV 9 B616 1987</t>
  </si>
  <si>
    <t>0                      QV 0009000B  616         1987</t>
  </si>
  <si>
    <t>Biotechnologically derived medical agents : the scientific basis of their regulation : proceedings of a conference / sponsored and organized by Interscience, Paris, September 10-13, 1987 ; editors, John L. Gueriguian, Vittorio Fattorusso, Duilio Poggiolini.</t>
  </si>
  <si>
    <t>New York, N.Y : Raven Press, c1988.</t>
  </si>
  <si>
    <t>1995-06-20</t>
  </si>
  <si>
    <t>1989-02-17</t>
  </si>
  <si>
    <t>QV 11 AA1 M5b 1962</t>
  </si>
  <si>
    <t>0                      QV 0011000AA 1                  M  5b          1962</t>
  </si>
  <si>
    <t>By their fruits : some historic contributions to the chemistry of life, with chapters by Selman A. Waksman and Vannevar Bush. [Ed. by Osgood Nichols]</t>
  </si>
  <si>
    <t>Merck Sharp &amp; Dohme.</t>
  </si>
  <si>
    <t>Rahway, N. J. : Merck, 1963, c1962.</t>
  </si>
  <si>
    <t>1963</t>
  </si>
  <si>
    <t>1996-02-19</t>
  </si>
  <si>
    <t>QV 11 AA1 W722c 1998</t>
  </si>
  <si>
    <t>0                      QV 0011000AA 1                  W  722c        1998</t>
  </si>
  <si>
    <t>A century of service and beyond : a history of one hundred years of leadership for independent pharmacy / by C. Fred Williams.</t>
  </si>
  <si>
    <t>Williams, C. Fred.</t>
  </si>
  <si>
    <t>Alexandria, VA : NCPA, c1998.</t>
  </si>
  <si>
    <t>vau</t>
  </si>
  <si>
    <t>2003-01-28</t>
  </si>
  <si>
    <t>1999-04-30</t>
  </si>
  <si>
    <t>QV 11.1 P974 1978</t>
  </si>
  <si>
    <t>0                      QV 0011100P  974         1978</t>
  </si>
  <si>
    <t>Psychopharmacology : a generation of progress / editors, Morris A. Lipton, Alberto DiMascio, Keith F. Killam.</t>
  </si>
  <si>
    <t>New York : Raven Press, 1981, c1978.</t>
  </si>
  <si>
    <t>2010-03-25</t>
  </si>
  <si>
    <t>QV 11.1 S671d 1985</t>
  </si>
  <si>
    <t>0                      QV 0011100S  671d        1985</t>
  </si>
  <si>
    <t>Chichester ; New York : Wiley, c1985.</t>
  </si>
  <si>
    <t>1993-07-07</t>
  </si>
  <si>
    <t>QV 13 E56 2003</t>
  </si>
  <si>
    <t>0                      QV 0013000E  56          2003</t>
  </si>
  <si>
    <t>Encyclopedia of biopharmaceutical statistics / edited by Shein-Chung Chow.</t>
  </si>
  <si>
    <t>New York : Marcel Dekker, c2003.</t>
  </si>
  <si>
    <t>2nd ed., rev. and expanded.</t>
  </si>
  <si>
    <t>2009-08-14</t>
  </si>
  <si>
    <t>2004-09-29</t>
  </si>
  <si>
    <t>QV 13 L776 1987</t>
  </si>
  <si>
    <t>0                      QV 0013000L  776         1987</t>
  </si>
  <si>
    <t>Lithium encyclopedia for clinical practice / by James W. Jefferson ... [et al.].</t>
  </si>
  <si>
    <t>Washington, DC : American Psychiatric Press, c1987.</t>
  </si>
  <si>
    <t>1993-04-20</t>
  </si>
  <si>
    <t>QV 13 M347p 1990</t>
  </si>
  <si>
    <t>0                      QV 0013000M  347p        1990</t>
  </si>
  <si>
    <t>Pharmacological and chemical synonyms : a collection of names of drugs, pesticides and other compounds drawn from the medical literature of the world / compiled by E.E.J. Marler.</t>
  </si>
  <si>
    <t>Marler, E. E. J.</t>
  </si>
  <si>
    <t>Amsterdam ; New York : Elsevier, c1990.</t>
  </si>
  <si>
    <t>9th ed.</t>
  </si>
  <si>
    <t>1990-08-16</t>
  </si>
  <si>
    <t>QV 15 S979i 1992-93</t>
  </si>
  <si>
    <t>0                      QV 0015000S  979i        1992                                        -93</t>
  </si>
  <si>
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</si>
  <si>
    <t>Stuttgart : Medpharm Scientific Publishers, c1992.</t>
  </si>
  <si>
    <t>[15th ed.]</t>
  </si>
  <si>
    <t>1992-11-05</t>
  </si>
  <si>
    <t>1992-10-20</t>
  </si>
  <si>
    <t>QV 16 D186c 1990</t>
  </si>
  <si>
    <t>0                      QV 0016000D  186c        1990</t>
  </si>
  <si>
    <t>Clinical calculations : a unified approach / Joanne M. Daniels, Loretta M. Smith.</t>
  </si>
  <si>
    <t>Daniels, Joanne M.</t>
  </si>
  <si>
    <t>Albany, N.Y. : Delmar Publishers, c1990.</t>
  </si>
  <si>
    <t>2005-08-27</t>
  </si>
  <si>
    <t>1994-09-23</t>
  </si>
  <si>
    <t>QV16 D794 1999</t>
  </si>
  <si>
    <t>0                      QV 0016000D  794         1999</t>
  </si>
  <si>
    <t>Drug prescribing in renal failure : dosing guidelines for adults / George R. Aronoff ... [et al.].</t>
  </si>
  <si>
    <t>Philadelphia, Pa. : American College of Physicians, c1999.</t>
  </si>
  <si>
    <t>2006-12-19</t>
  </si>
  <si>
    <t>2004-11-22</t>
  </si>
  <si>
    <t>QV 16 R863c 1976</t>
  </si>
  <si>
    <t>0                      QV 0016000R  863c        1976</t>
  </si>
  <si>
    <t>Calculations in pharmacy / Sue H. Rouse and M. George Webber.</t>
  </si>
  <si>
    <t>Rouse, Sue H.</t>
  </si>
  <si>
    <t>Philadelphia : Lippincott, c1976.</t>
  </si>
  <si>
    <t>1976</t>
  </si>
  <si>
    <t>2003-10-08</t>
  </si>
  <si>
    <t>QV 16 S874p 1986</t>
  </si>
  <si>
    <t>0                      QV 0016000S  874p        1986</t>
  </si>
  <si>
    <t>Pharmaceutical calculations / Mitchell J. Stoklosa and Howard C. Ansel.</t>
  </si>
  <si>
    <t>Stoklosa, Mitchell J.</t>
  </si>
  <si>
    <t>Philadelphia : Lea &amp; Febiger, c1986.</t>
  </si>
  <si>
    <t>2003-09-24</t>
  </si>
  <si>
    <t>QV 16 S874p 1991</t>
  </si>
  <si>
    <t>0                      QV 0016000S  874p        1991</t>
  </si>
  <si>
    <t>Philadelphia : Lea &amp; Febiger, c1991.</t>
  </si>
  <si>
    <t>1991-07-26</t>
  </si>
  <si>
    <t>QV 16 S874p 1996</t>
  </si>
  <si>
    <t>0                      QV 0016000S  874p        1996</t>
  </si>
  <si>
    <t>Pharmaceutical calculations.</t>
  </si>
  <si>
    <t>Baltimore : Williams &amp; Wilkins, c1996.</t>
  </si>
  <si>
    <t>10th ed. / Mitchell J. Stoklosa, Howard C. Ansel.</t>
  </si>
  <si>
    <t>2008-08-27</t>
  </si>
  <si>
    <t>QV 16 S936c 1903</t>
  </si>
  <si>
    <t>0                      QV 0016000S  936c        1903</t>
  </si>
  <si>
    <t>Course in pharmaceutical and chemical arithmetic : including weights and measures / by Julius William Sturmer.</t>
  </si>
  <si>
    <t>Sturmer, Julius William, 1870-1952.</t>
  </si>
  <si>
    <t>[Phiadelphia] : The author, c1903.</t>
  </si>
  <si>
    <t>1903</t>
  </si>
  <si>
    <t>3rd. ed., with answers.</t>
  </si>
  <si>
    <t>1991-09-20</t>
  </si>
  <si>
    <t>QV 18 A813p 1994</t>
  </si>
  <si>
    <t>0                      QV 0018000A  813p        1994</t>
  </si>
  <si>
    <t>Principles of drug information and scientific literature evaluation / Frank J. Ascione, Carol Colvin Manifold, Mary A. Parenti.</t>
  </si>
  <si>
    <t>Ascione, Frank J., 1946-</t>
  </si>
  <si>
    <t>Hamilton, Ill. : Drug Intelligence Publication, c1994.</t>
  </si>
  <si>
    <t>1999-09-28</t>
  </si>
  <si>
    <t>1998-01-27</t>
  </si>
  <si>
    <t>QV 18 A928d 1987</t>
  </si>
  <si>
    <t>0                      QV 0018000A  928d        1987</t>
  </si>
  <si>
    <t>Dosage calculation : method and workbook / Ann Aurigemma, Barbara J. Bohny.</t>
  </si>
  <si>
    <t>Aurigemma, Ann.</t>
  </si>
  <si>
    <t>New York : National League for Nursing, c1987.</t>
  </si>
  <si>
    <t>Pub. ; no. 20-2197.</t>
  </si>
  <si>
    <t>1997-10-15</t>
  </si>
  <si>
    <t>1993-02-19</t>
  </si>
  <si>
    <t>QV 18 B879b 1984</t>
  </si>
  <si>
    <t>0                      QV 0018000B  879b        1984</t>
  </si>
  <si>
    <t>Basic drug calculations / Meta Brown, Joyce L. Mulholland.</t>
  </si>
  <si>
    <t>Seltzer, Meta Brown.</t>
  </si>
  <si>
    <t>St. Louis : Mosby, c1984.</t>
  </si>
  <si>
    <t>1992-12-21</t>
  </si>
  <si>
    <t>QV 18 C796c 1989</t>
  </si>
  <si>
    <t>0                      QV 0018000C  796c        1989</t>
  </si>
  <si>
    <t>Clinical calculations for nurses : with basic mathematics review / Mary Jane Cordón.</t>
  </si>
  <si>
    <t>Cordón, Mary Jane.</t>
  </si>
  <si>
    <t>East Norwalk, Conn. : Appleton &amp; Lange, c1989.</t>
  </si>
  <si>
    <t>1993-10-15</t>
  </si>
  <si>
    <t>1989-11-21</t>
  </si>
  <si>
    <t>QV 18 C976m 1984</t>
  </si>
  <si>
    <t>0                      QV 0018000C  976m        1984</t>
  </si>
  <si>
    <t>Math for meds : a programmed text / Anna M. Curren, Laurie D. Munday.</t>
  </si>
  <si>
    <t>Curren, Anna M.</t>
  </si>
  <si>
    <t>San Diego, CA : Wallcur, c1984.</t>
  </si>
  <si>
    <t>1991-08-29</t>
  </si>
  <si>
    <t>QV 18 G378p 1991</t>
  </si>
  <si>
    <t>0                      QV 0018000G  378p        1991</t>
  </si>
  <si>
    <t>Pharmacy examination review : 1000 multiple choice questions and explanatory answers / Robert J. Gerraughty, Joan M. Lausier, and Michele A. Danish.</t>
  </si>
  <si>
    <t>Gerraughty, Robert J., 1928-</t>
  </si>
  <si>
    <t>New York, N.Y. : Medical Examination Pub. Co., c1991.</t>
  </si>
  <si>
    <t>10th ed.</t>
  </si>
  <si>
    <t>2005-10-30</t>
  </si>
  <si>
    <t>1991-04-26</t>
  </si>
  <si>
    <t>QV 18 H176a 1993</t>
  </si>
  <si>
    <t>0                      QV 0018000H  176a        1993</t>
  </si>
  <si>
    <t>Appleton &amp; Lange's review of pharmacy.</t>
  </si>
  <si>
    <t>Hall, Gary D.</t>
  </si>
  <si>
    <t>Norwalk, Conn. : Appleton &amp; Lange, c1993.</t>
  </si>
  <si>
    <t>5th ed. / Gary D. Hall, Barry S. Reiss.</t>
  </si>
  <si>
    <t>A &amp; L's review series</t>
  </si>
  <si>
    <t>2007-06-04</t>
  </si>
  <si>
    <t>1993-08-31</t>
  </si>
  <si>
    <t>QV 18 N277c 1989</t>
  </si>
  <si>
    <t>0                      QV 0018000N  277c        1989</t>
  </si>
  <si>
    <t>A candidate's review guide to the National Association of Boards of Pharmacy Licensure Examination.</t>
  </si>
  <si>
    <t>National Association of Boards of Pharmacy.</t>
  </si>
  <si>
    <t>[Chicago] : National Association of Boards of Pharmacy, c1989.</t>
  </si>
  <si>
    <t>1995-04-30</t>
  </si>
  <si>
    <t>1989-04-13</t>
  </si>
  <si>
    <t>QV18 N277C 1996-97</t>
  </si>
  <si>
    <t>0                      QV 0018000N  277C        1996                                        -97</t>
  </si>
  <si>
    <t>A candidate's guide for the National Association of Boards of Pharmacy licensure examination / NABPLEX Review Committee.</t>
  </si>
  <si>
    <t>Chicago : National Association of Boards of Pharmacy, c1995.</t>
  </si>
  <si>
    <t>2006-09-15</t>
  </si>
  <si>
    <t>2002-11-19</t>
  </si>
  <si>
    <t>QV 18 N675c 1989</t>
  </si>
  <si>
    <t>0                      QV 0018000N  675c        1989</t>
  </si>
  <si>
    <t>Clinical problems in basic pharmacology / David W. Nierenberg, Roger P. Smith.</t>
  </si>
  <si>
    <t>Nierenberg, David W.</t>
  </si>
  <si>
    <t>St. Louis : Mosby, c1989.</t>
  </si>
  <si>
    <t>2001-09-14</t>
  </si>
  <si>
    <t>1988-12-28</t>
  </si>
  <si>
    <t>QV 18 P252r 1977</t>
  </si>
  <si>
    <t>0                      QV 0018000P  252r        1977</t>
  </si>
  <si>
    <t>Review mathematics for nurses and health professionals : a text-workbook including dosages and solutions / Lucille M. Parks.</t>
  </si>
  <si>
    <t>Parks, Lucille M.</t>
  </si>
  <si>
    <t>Menlo Park, Calif. : Cummings Pub. Co., c1977.</t>
  </si>
  <si>
    <t>1999-08-23</t>
  </si>
  <si>
    <t>QV 18 P5365 1991</t>
  </si>
  <si>
    <t>0                      QV 0018000P  5365        1991</t>
  </si>
  <si>
    <t>Pharmacology : PreTest self-assessment and review.</t>
  </si>
  <si>
    <t>New York : McGraw-Hill Inc., Health Professions Division, PreTest Series, c1991.</t>
  </si>
  <si>
    <t>6th ed. / senior editor, Joseph R. DiPalma ; contributing editors, Edward J. Barbieri ... [et. al.].</t>
  </si>
  <si>
    <t>cou</t>
  </si>
  <si>
    <t>2005-04-20</t>
  </si>
  <si>
    <t>1991-02-19</t>
  </si>
  <si>
    <t>QV 18 P5366 1991</t>
  </si>
  <si>
    <t>0                      QV 0018000P  5366        1991</t>
  </si>
  <si>
    <t>Pharmacy practice exam / editors, Alan H. Mutnick, Paul F. Souney ; associate editors, Louise Glassner Cohen ... [et al.].</t>
  </si>
  <si>
    <t>Media, Pa. : Harwal Pub. Co., c1991.</t>
  </si>
  <si>
    <t>1992-09-21</t>
  </si>
  <si>
    <t>QV 18 P5375 1985</t>
  </si>
  <si>
    <t>0                      QV 0018000P  5375        1985</t>
  </si>
  <si>
    <t>Pharmacy review / Walter Singer ... [et al.].</t>
  </si>
  <si>
    <t>Norwalk, Conn. : Appleton-Century-Crofts, c1985.</t>
  </si>
  <si>
    <t xml:space="preserve">aa </t>
  </si>
  <si>
    <t>QV 18 P53751 1988</t>
  </si>
  <si>
    <t>0                      QV 0018000P  53751       1988</t>
  </si>
  <si>
    <t>Pharmacy review / [edited by] Leon Shargel.</t>
  </si>
  <si>
    <t>New York : Wiley ; Media, Pa. : Harwal Pub. Co., c1988.</t>
  </si>
  <si>
    <t>2007-12-07</t>
  </si>
  <si>
    <t>1990-01-23</t>
  </si>
  <si>
    <t>QV 18 R125 1995</t>
  </si>
  <si>
    <t>0                      QV 0018000R  125         1995</t>
  </si>
  <si>
    <t>Radcliff and Ogden's calculation of drug dosages : an interactive workbook / Sheila J. Ogden ; contributor, Angela G. Opsahl.</t>
  </si>
  <si>
    <t>Ogden, Sheila J., 1949-</t>
  </si>
  <si>
    <t>St. Louis, Mo. : Mosby-Year Book, c1995.</t>
  </si>
  <si>
    <t>QV 18 R125c 1991</t>
  </si>
  <si>
    <t>0                      QV 0018000R  125c        1991</t>
  </si>
  <si>
    <t>Calculation of drug dosages : a workbook / Ruth K. Radcliff, Sheila J. Ogden.</t>
  </si>
  <si>
    <t>Radcliff, Ruth K., 1925-</t>
  </si>
  <si>
    <t>St. Louis : Mosby-Year Book Inc., c1991.</t>
  </si>
  <si>
    <t>QV 18 R5155m 1990</t>
  </si>
  <si>
    <t>0                      QV 0018000R  5155m       1990</t>
  </si>
  <si>
    <t>The mathematics of drugs and solutions with clinical applications / Judith Knight Richardson, Lloyd I. Richardson.</t>
  </si>
  <si>
    <t>Richardson, Judith Knight.</t>
  </si>
  <si>
    <t>St. Louis : C.V. Mosby, c1990.</t>
  </si>
  <si>
    <t>1990-08-17</t>
  </si>
  <si>
    <t>QV 18 S273m 1992</t>
  </si>
  <si>
    <t>0                      QV 0018000S  273m        1992</t>
  </si>
  <si>
    <t>Math &amp; meds for nurses : a programmed approach for calculations of drugs and solutions / Dolores F. Saxton, Norma Ercolano- O'Neill.</t>
  </si>
  <si>
    <t>Saxton, Dolores F.</t>
  </si>
  <si>
    <t>St. Louis, MO : GW Manning, c1992.</t>
  </si>
  <si>
    <t>1993-10-26</t>
  </si>
  <si>
    <t>1993-09-02</t>
  </si>
  <si>
    <t>QV 18 S428c 1982</t>
  </si>
  <si>
    <t>0                      QV 0018000S  428c        1982</t>
  </si>
  <si>
    <t>Calculations of medications : using the proportion : guided instruction in mathematics for nurses / Mary Ann Scott.</t>
  </si>
  <si>
    <t>Krisman-Scott, Mary Ann.</t>
  </si>
  <si>
    <t>Norwalk, CT : Appleton-Century-Crofts, c1982.</t>
  </si>
  <si>
    <t>1994-09-19</t>
  </si>
  <si>
    <t>QV 18 S912 1988</t>
  </si>
  <si>
    <t>0                      QV 0018000S  912         1988</t>
  </si>
  <si>
    <t>Strauss's pharmacy law examination review / Steven Strauss.</t>
  </si>
  <si>
    <t>Lancaster, Penn. : Technomic Publishing Co., c1988.</t>
  </si>
  <si>
    <t>2005-10-16</t>
  </si>
  <si>
    <t>1989-01-14</t>
  </si>
  <si>
    <t>QV 18 T188s 1981</t>
  </si>
  <si>
    <t>0                      QV 0018000T  188s        1981</t>
  </si>
  <si>
    <t>Student guide to the PCAT, pharmacy college admission test : comprehensive manual for self study and review / David M. Tarlow.</t>
  </si>
  <si>
    <t>Tarlow, David M.</t>
  </si>
  <si>
    <t>St. Louis : Datar Pub. Co., c1981.</t>
  </si>
  <si>
    <t>2006-09-27</t>
  </si>
  <si>
    <t>QV18 T2535 1997</t>
  </si>
  <si>
    <t>0                      QV 0018000T  2535        1997</t>
  </si>
  <si>
    <t>Teaching and learning strategies in pharmacy ethics / Amy Marie Haddad, editor.</t>
  </si>
  <si>
    <t>New York : Pharmaceutical Products Press, c1997.</t>
  </si>
  <si>
    <t>2005-06-23</t>
  </si>
  <si>
    <t>1998-01-29</t>
  </si>
  <si>
    <t>QV 18 W363p 1979</t>
  </si>
  <si>
    <t>0                      QV 0018000W  363p        1979</t>
  </si>
  <si>
    <t>Programmed mathematics of drugs and solutions / Mabel E. Weaver, Vera J. Koehler.</t>
  </si>
  <si>
    <t>Weaver, Mabel E.</t>
  </si>
  <si>
    <t>Philadelphia : Lippincott, 1979.</t>
  </si>
  <si>
    <t>1994-09-17</t>
  </si>
  <si>
    <t>QV 18 Z38p 1981</t>
  </si>
  <si>
    <t>0                      QV 0018000Z  38p         1981</t>
  </si>
  <si>
    <t>Pharmaceutical calculations / Joel L. Zatz.</t>
  </si>
  <si>
    <t>Zatz, Joel L., 1935-</t>
  </si>
  <si>
    <t>New York : Wiley, 1981.</t>
  </si>
  <si>
    <t>Wiley-Interscience publication</t>
  </si>
  <si>
    <t>2006-03-27</t>
  </si>
  <si>
    <t>QV18.2 B879d 2004</t>
  </si>
  <si>
    <t>0                      QV 0018200B  879d        2004</t>
  </si>
  <si>
    <t>Drug calculations : process and problems for clinical practice / Meta Brown, Joyce M. Mulholland.</t>
  </si>
  <si>
    <t>St. Louis, Mo. : Mosby, 2003.</t>
  </si>
  <si>
    <t>7th ed.</t>
  </si>
  <si>
    <t>2009-01-18</t>
  </si>
  <si>
    <t>2004-10-25</t>
  </si>
  <si>
    <t>QV 18.2 B879d 2008</t>
  </si>
  <si>
    <t>0                      QV 0018200B  879d        2008</t>
  </si>
  <si>
    <t>St. Louis, Mo. : Mosby/Elsevier, c2008.</t>
  </si>
  <si>
    <t>2008</t>
  </si>
  <si>
    <t>2008-08-21</t>
  </si>
  <si>
    <t>2008-08-20</t>
  </si>
  <si>
    <t>QV 18.2 C737 2001</t>
  </si>
  <si>
    <t>0                      QV 0018200C  737         2001</t>
  </si>
  <si>
    <t>Comprehensive pharmacy review / editors, Leon Shargel ... [et al.].</t>
  </si>
  <si>
    <t>Baltimore ; London : Williams &amp; Wilkins, c2001.</t>
  </si>
  <si>
    <t>2009-04-23</t>
  </si>
  <si>
    <t>2004-01-30</t>
  </si>
  <si>
    <t>QV 18.2 H176L 2007</t>
  </si>
  <si>
    <t>0                      QV 0018200H  176L        2007</t>
  </si>
  <si>
    <t>Lange Q &amp; A pharmacy / Gary D. Hall, Barry S. Reiss.</t>
  </si>
  <si>
    <t>New York : McGraw-Hill, Medical, c2007.</t>
  </si>
  <si>
    <t>Lange Q&amp;A</t>
  </si>
  <si>
    <t>2010-03-21</t>
  </si>
  <si>
    <t>2008-08-11</t>
  </si>
  <si>
    <t>QV 18.2 M478 2009</t>
  </si>
  <si>
    <t>0                      QV 0018200M  478         2009</t>
  </si>
  <si>
    <t>McGraw-Hill's PCAT : pharmacy college admission test / George J. Hademenos ... [et al.].</t>
  </si>
  <si>
    <t>New York : McGraw-Hill, c2009.</t>
  </si>
  <si>
    <t>2010-10-07</t>
  </si>
  <si>
    <t>2010-01-07</t>
  </si>
  <si>
    <t>QV 18.2 P536 2002</t>
  </si>
  <si>
    <t>0                      QV 0018200P  536         2002</t>
  </si>
  <si>
    <t>Pharmacology : PreTest self-assessment and review / Arnold Stern ; student reviewers, Christopher A. Heck, Junda C. Woo.</t>
  </si>
  <si>
    <t>New York : McGraw-Hill, Medical Pub. Division, c2002.</t>
  </si>
  <si>
    <t>2002</t>
  </si>
  <si>
    <t>2002-10-16</t>
  </si>
  <si>
    <t>2002-10-09</t>
  </si>
  <si>
    <t>QV18.2 P542 2001</t>
  </si>
  <si>
    <t>0                      QV 0018200P  542         2001</t>
  </si>
  <si>
    <t>Pharmacy review : pearls of wisdom / [edited by] Francisco Talavera, Eric Scholar.</t>
  </si>
  <si>
    <t>Lincoln, Neb. : Boston Medical Pub. Corp., 2001.</t>
  </si>
  <si>
    <t>nbu</t>
  </si>
  <si>
    <t>2008-04-27</t>
  </si>
  <si>
    <t>2001-11-13</t>
  </si>
  <si>
    <t>QV 18.2 R496p 1999</t>
  </si>
  <si>
    <t>0                      QV 0018200R  496p        1999</t>
  </si>
  <si>
    <t>Principles of pharmacology for medical assisting / Jane Rice.</t>
  </si>
  <si>
    <t>Rice, Jane.</t>
  </si>
  <si>
    <t>Albany, N.Y.: Delmar, c1999.</t>
  </si>
  <si>
    <t>2006-04-30</t>
  </si>
  <si>
    <t>1999-01-07</t>
  </si>
  <si>
    <t>QV 20.5 A392n 1991</t>
  </si>
  <si>
    <t>0                      QV 0020500A  392n        1991</t>
  </si>
  <si>
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</si>
  <si>
    <t>Alfred Benzon Symposium (33rd : 1991 : Copenhagen, Denmark)</t>
  </si>
  <si>
    <t>Copenhagen : Munksgaard, c1992.</t>
  </si>
  <si>
    <t xml:space="preserve">dk </t>
  </si>
  <si>
    <t>QV 20.5 B615 1975</t>
  </si>
  <si>
    <t>0                      QV 0020500B  615         1975</t>
  </si>
  <si>
    <t>Biomedical experimentation on prisoners : review of practices and problems and proposal of a new regulatory approach / by Albert R. Jonsen ... [et al.].</t>
  </si>
  <si>
    <t>-- San Francisco, Cal. : School of Medicine, University of California, 1975.</t>
  </si>
  <si>
    <t>Health Policy Program Discussion Paper, September 1975</t>
  </si>
  <si>
    <t>1991-12-17</t>
  </si>
  <si>
    <t>QV21 B496c 2002</t>
  </si>
  <si>
    <t>0                      QV 0021000B  496c        2002</t>
  </si>
  <si>
    <t>Communication skills for pharmacists : building relationships, improving patient care / Bruce A. Berger.</t>
  </si>
  <si>
    <t>Berger, Bruce A.</t>
  </si>
  <si>
    <t>Washington, D.C. : American Pharmaceutical Association, c2002.</t>
  </si>
  <si>
    <t>2003-05-22</t>
  </si>
  <si>
    <t>QV21 B496c 2005</t>
  </si>
  <si>
    <t>0                      QV 0021000B  496c        2005</t>
  </si>
  <si>
    <t>Washington, D.C. : American Pharmacists Association, 2005.</t>
  </si>
  <si>
    <t>2008-11-12</t>
  </si>
  <si>
    <t>2006-08-22</t>
  </si>
  <si>
    <t>QV 21 B928e 1994</t>
  </si>
  <si>
    <t>0                      QV 0021000B  928e        1994</t>
  </si>
  <si>
    <t>Ethical responsibility in pharmacy practice / Robert A. Buerki, Louis D. Vottero.</t>
  </si>
  <si>
    <t>Buerki, Robert A.</t>
  </si>
  <si>
    <t>Madison, Wis. : American Institute of the History of Pharmacy, c1994.</t>
  </si>
  <si>
    <t>2005-10-11</t>
  </si>
  <si>
    <t>1995-08-09</t>
  </si>
  <si>
    <t>QV 21 B961o 1959</t>
  </si>
  <si>
    <t>0                      QV 0021000B  961o        1959</t>
  </si>
  <si>
    <t>Orientation to pharmacy / Henry M. Burlage, Charles O. Lee, L. Wait Rising.</t>
  </si>
  <si>
    <t>Burlage, Henry M., 1897-1978.</t>
  </si>
  <si>
    <t>New York : McGraw-Hill, Blakiston Division, c1959.</t>
  </si>
  <si>
    <t>1988-01-18</t>
  </si>
  <si>
    <t>QV 21.C437 1985</t>
  </si>
  <si>
    <t>0                      QV 0021000C  437         1985</t>
  </si>
  <si>
    <t>The Challenge of ethics in pharmacy practice : symposium / presented at a joint session of the American Institute of the History of Pharmacy and the APhA Academy of Pharmacy Practice ; Robert A. Buerki, chairman.</t>
  </si>
  <si>
    <t>Madison, Wis. : American Institute of the History of Pharmacy, 1985.</t>
  </si>
  <si>
    <t>Publication ; no. 8 (new ser.)</t>
  </si>
  <si>
    <t>2004-02-04</t>
  </si>
  <si>
    <t>QV21 C577p 2004</t>
  </si>
  <si>
    <t>0                      QV 0021000C  577p        2004</t>
  </si>
  <si>
    <t>Pharmaceutical care practice : the clinician's guide / Robert J. Cipolle, Linda M. Strand, Peter C. Morley.</t>
  </si>
  <si>
    <t>Cipolle, Robert J.</t>
  </si>
  <si>
    <t>New York : McGraw-Hill, Medical Pub. Division, c2004.</t>
  </si>
  <si>
    <t>2006-08-31</t>
  </si>
  <si>
    <t>2004-11-16</t>
  </si>
  <si>
    <t>QV 21 C7345 1989</t>
  </si>
  <si>
    <t>0                      QV 0021000C  7345        1989</t>
  </si>
  <si>
    <t>Communication skills in pharmacy practice : a practical guide for students and practitioners / [edited by] William N. Tindall, Robert S. Beardsley, Carole L. Kimberlin.</t>
  </si>
  <si>
    <t>Philadelphia : Lea &amp; Febiger, c1989.</t>
  </si>
  <si>
    <t>1989-07-29</t>
  </si>
  <si>
    <t>QV 21 C7348 1994</t>
  </si>
  <si>
    <t>0                      QV 0021000C  7348        1994</t>
  </si>
  <si>
    <t>Philadelphia : Lea &amp; Febiger, c1994.</t>
  </si>
  <si>
    <t>2006-06-05</t>
  </si>
  <si>
    <t>QV 21 D413p 1959</t>
  </si>
  <si>
    <t>0                      QV 0021000D  413p        1959</t>
  </si>
  <si>
    <t>The profession of pharmacy : an introductory textbook / Richard A. Deno, Thomas D. Rowe, Donald C. Brodie.</t>
  </si>
  <si>
    <t>Deno, Richard A. (Richard Anthony), 1906-</t>
  </si>
  <si>
    <t>Philadelphia : Lippincott, c1959.</t>
  </si>
  <si>
    <t>QV 21 E84 1996</t>
  </si>
  <si>
    <t>0                      QV 0021000E  84          1996</t>
  </si>
  <si>
    <t>Ethical dimensions of pharmaceutical care / Amy Marie Haddad, Robert A. Buerki, editors.</t>
  </si>
  <si>
    <t>New York : Pharmaceutical Products Press, c1996.</t>
  </si>
  <si>
    <t>2002-07-08</t>
  </si>
  <si>
    <t>1998-01-16</t>
  </si>
  <si>
    <t>QV 21 G562 1998</t>
  </si>
  <si>
    <t>0                      QV 0021000G  562         1998</t>
  </si>
  <si>
    <t>Global visions of women pharmacists : speeches from an international forum / editors, Mary J. Berg, Marianne R. Rollings.</t>
  </si>
  <si>
    <t>Richmond, VA : Leadership International Library, 1998.</t>
  </si>
  <si>
    <t>2002-06-25</t>
  </si>
  <si>
    <t>QV 21 K67e 1973</t>
  </si>
  <si>
    <t>0                      QV 0021000K  67e         1973</t>
  </si>
  <si>
    <t>Evaluating pharmacists and their activities : a review of methods and findings / By David A. Knapp, Mickey C. Smith.</t>
  </si>
  <si>
    <t>Knapp, David Allan.</t>
  </si>
  <si>
    <t>Washington : American Society of Hospital Pharmacists Research and Education Foundation, c1973.</t>
  </si>
  <si>
    <t>2000-06-02</t>
  </si>
  <si>
    <t>QV 21 S412i 1951</t>
  </si>
  <si>
    <t>0                      QV 0021000S  412i        1951</t>
  </si>
  <si>
    <t>The interests of pharmacists.</t>
  </si>
  <si>
    <t>Schwebel, Milton.</t>
  </si>
  <si>
    <t>New York : King's Crown Press, 1951.</t>
  </si>
  <si>
    <t>1951</t>
  </si>
  <si>
    <t>QV 25 B324a 1987</t>
  </si>
  <si>
    <t>0                      QV 0025000B  324a        1987</t>
  </si>
  <si>
    <t>Analytical procedures for therapeutic drug monitoring and emergency toxicology / Randall C. Baselt.</t>
  </si>
  <si>
    <t>Baselt, Randall C.</t>
  </si>
  <si>
    <t>Littleton, Mass. : PSG Pub. Co., c1987.</t>
  </si>
  <si>
    <t>1989-11-06</t>
  </si>
  <si>
    <t>1988-01-05</t>
  </si>
  <si>
    <t>QV 25 S997h 1990-91</t>
  </si>
  <si>
    <t>0                      QV 0025000S  997h        1990                                        -91</t>
  </si>
  <si>
    <t>HPLC in pharmaceutical analysis / author, Gábor Szepesi.</t>
  </si>
  <si>
    <t>Szepesi, Gábor, 1939-</t>
  </si>
  <si>
    <t>Boca Raton, Fla. : CRC Press, c1990-c1991.</t>
  </si>
  <si>
    <t>1999-01-15</t>
  </si>
  <si>
    <t>1999-06-22</t>
  </si>
  <si>
    <t>1991-03-02</t>
  </si>
  <si>
    <t>QV 25 T469d 1990</t>
  </si>
  <si>
    <t>0                      QV 0025000T  469d        1990</t>
  </si>
  <si>
    <t>Drug bioscreening : drug evaluation techniques in pharmacology / Emmanuel B. Thompson.</t>
  </si>
  <si>
    <t>Thompson, Emmanuel B.</t>
  </si>
  <si>
    <t>New York : VCH, c1990.</t>
  </si>
  <si>
    <t>1992-04-07</t>
  </si>
  <si>
    <t>QV 28 S316p 1942</t>
  </si>
  <si>
    <t>0                      QV 0028000S  316p        1942</t>
  </si>
  <si>
    <t>Pictorial life history of the apothecary chemist Carl Wilhelm Scheele / by George Urdang.</t>
  </si>
  <si>
    <t>Urdang, George, 1882-1960.</t>
  </si>
  <si>
    <t>[Madison, Wis. : American institute of the history of pharmacy, 1942]</t>
  </si>
  <si>
    <t>1942</t>
  </si>
  <si>
    <t>1991-11-26</t>
  </si>
  <si>
    <t>QV 32 AA1 F2 1974</t>
  </si>
  <si>
    <t>0                      QV 0032000AA 1                  F  2           1974</t>
  </si>
  <si>
    <t>Federal and state laws pertaining to methadone / [By J.C. Cobb, ... [et al.].</t>
  </si>
  <si>
    <t>Rockville, Md. : National Institute on Drug Abuse, [1974].</t>
  </si>
  <si>
    <t>DHEW publication ; no. (ADM) 74-62</t>
  </si>
  <si>
    <t>2003-04-11</t>
  </si>
  <si>
    <t>1990-12-12</t>
  </si>
  <si>
    <t>QV 32 AA1 H3L 1971</t>
  </si>
  <si>
    <t>0                      QV 0032000AA 1                  H  3L          1971</t>
  </si>
  <si>
    <t>Law for the pharmacy student / William E. Hassan, Jr.</t>
  </si>
  <si>
    <t>Hassan, William E.</t>
  </si>
  <si>
    <t>Philadelphia : Lea &amp; Febiger, 1971.</t>
  </si>
  <si>
    <t>1989-01-09</t>
  </si>
  <si>
    <t>1988-03-01</t>
  </si>
  <si>
    <t>QV 32 P536 1992</t>
  </si>
  <si>
    <t>0                      QV 0032000P  536         1992</t>
  </si>
  <si>
    <t>Pharmacy legislation regulations guidelines for long-term care : a resource for the consultant pharmacist.</t>
  </si>
  <si>
    <t>Arlington, VA : American Society of Consultant Pharmacists, c1992.</t>
  </si>
  <si>
    <t>1995-10-27</t>
  </si>
  <si>
    <t>1992-03-31</t>
  </si>
  <si>
    <t>QV 33 AA1 A2p 1997</t>
  </si>
  <si>
    <t>0                      QV 0033000AA 1                  A  2p          1997</t>
  </si>
  <si>
    <t>Pharmacy practice and the law / Richard R. Abood, David B. Brushwood.</t>
  </si>
  <si>
    <t>Abood, Richard R.</t>
  </si>
  <si>
    <t>Gaithersburg, Md. : Aspen, c1997.</t>
  </si>
  <si>
    <t>2003-04-23</t>
  </si>
  <si>
    <t>1997-09-23</t>
  </si>
  <si>
    <t>1997-12-19</t>
  </si>
  <si>
    <t>2000-12-06</t>
  </si>
  <si>
    <t>QV 33 AA1 D3p 1984</t>
  </si>
  <si>
    <t>0                      QV 0033000AA 1                  D  3p          1984</t>
  </si>
  <si>
    <t>Pharmacy and the law / Carl T. DeMarco.</t>
  </si>
  <si>
    <t>DeMarco, Carl T.</t>
  </si>
  <si>
    <t>Rockville, Md. : Aspen Systems Corp., c1984.</t>
  </si>
  <si>
    <t>1994-05-19</t>
  </si>
  <si>
    <t>QV 33 AA1 N6h 1986</t>
  </si>
  <si>
    <t>0                      QV 0033000AA 1                  N  6h          1986</t>
  </si>
  <si>
    <t>Handbook of federal drug law / James Robert Nielsen.</t>
  </si>
  <si>
    <t>Nielsen, James Robert.</t>
  </si>
  <si>
    <t>1987-10-20</t>
  </si>
  <si>
    <t>QV 33 AA1 N6h 1992</t>
  </si>
  <si>
    <t>0                      QV 0033000AA 1                  N  6h          1992</t>
  </si>
  <si>
    <t>Philadelphia : Lea &amp; Febiger, c1992.</t>
  </si>
  <si>
    <t>2003-05-23</t>
  </si>
  <si>
    <t>1993-01-19</t>
  </si>
  <si>
    <t>QV33 AA1 R35 2001</t>
  </si>
  <si>
    <t>0                      QV 0033000AA 1                  R  35          2001</t>
  </si>
  <si>
    <t>Regulatory toxicololgy / [edited by] Shayne C. Gad.</t>
  </si>
  <si>
    <t>London ; New York : Taylor &amp; Francis, 2001.</t>
  </si>
  <si>
    <t>2006-01-25</t>
  </si>
  <si>
    <t>2003-06-06</t>
  </si>
  <si>
    <t>QV 34 H236 1966 v.18</t>
  </si>
  <si>
    <t>0                      QV 0034000H  236         1966                                        v.18</t>
  </si>
  <si>
    <t>Histamine and anti-histaminics / contributors, S.G.. Alivisatos ... [et al.] ; sub-editor, Mauricio Rocha e Silva in collaboration with Hanna A. Rothschild.</t>
  </si>
  <si>
    <t>V. 18</t>
  </si>
  <si>
    <t>Berlin ; New York : Springer-Verlag, 1966.</t>
  </si>
  <si>
    <t>Handbook of experimental pharmacology : New series ; v. 18.</t>
  </si>
  <si>
    <t>2005-08-30</t>
  </si>
  <si>
    <t>1988-03-03</t>
  </si>
  <si>
    <t>QV 34 H236 1971</t>
  </si>
  <si>
    <t>0                      QV 0034000H  236         1971</t>
  </si>
  <si>
    <t>Concepts in biochemical pharmacology / Contributors: W.P. Argy Editors: B.B. Brodie and J.R. Gillette. Assistant editor: Helen S. Ackerman.</t>
  </si>
  <si>
    <t>V. 28 PT. 2</t>
  </si>
  <si>
    <t>Berlin, New York : Springer-Verlag, 1971-</t>
  </si>
  <si>
    <t>Handbuch der experimentellen Pharmakologie. Handbook of experimental pharmacology. New series, v. XXVIII, 1</t>
  </si>
  <si>
    <t>1997-10-11</t>
  </si>
  <si>
    <t>V. 28 PT. 1</t>
  </si>
  <si>
    <t>QV 38 A512b 1978</t>
  </si>
  <si>
    <t>0                      QV 0038000A  512b        1978</t>
  </si>
  <si>
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</si>
  <si>
    <t>American Pharmaceutical Association.</t>
  </si>
  <si>
    <t>Washington, D.C. : American Pharmaceutical Association, c1978.</t>
  </si>
  <si>
    <t>-- Cumulative ed. --</t>
  </si>
  <si>
    <t>2001-04-27</t>
  </si>
  <si>
    <t>1988-01-28</t>
  </si>
  <si>
    <t>QV38 A947a 2003</t>
  </si>
  <si>
    <t>0                      QV 0038000A  947a        2003</t>
  </si>
  <si>
    <t>Absorption and drug development : solubility, permeability, and charge state / Alex Avdeef.</t>
  </si>
  <si>
    <t>Avdeef, Alex.</t>
  </si>
  <si>
    <t>Hoboken, N.J. : Wiley-Interscience, c2003.</t>
  </si>
  <si>
    <t>2009-11-12</t>
  </si>
  <si>
    <t>QV 38 B615a 1990</t>
  </si>
  <si>
    <t>0                      QV 0038000B  615a        1990</t>
  </si>
  <si>
    <t>Advanced methods of pharmacokinetic and pharmacodynamic systems analysis / edited by David Z. D'Argenio.</t>
  </si>
  <si>
    <t>Biomedical Simulations Resource Workshop on Advanced Methods of Pharmacokinetic and Pharmacodynamic Systems Analysis (1990 : Marina del Rey, Calif.)</t>
  </si>
  <si>
    <t>1991-11-18</t>
  </si>
  <si>
    <t>QV 38 B775p 1986</t>
  </si>
  <si>
    <t>0                      QV 0038000B  775p        1986</t>
  </si>
  <si>
    <t>Pharmacokinetics for the non-mathematical / D.W.A. Bourne, E.J. Triggs, and M.J. Eadie.</t>
  </si>
  <si>
    <t>Bourne, D. W. A. (David W. A.), 1946-</t>
  </si>
  <si>
    <t>Lancaster ; Boston : MTP Press, c1986.</t>
  </si>
  <si>
    <t>2005-03-24</t>
  </si>
  <si>
    <t>QV 38 B854d 1994</t>
  </si>
  <si>
    <t>0                      QV 0038000B  854d        1994</t>
  </si>
  <si>
    <t>Drugs in pregnancy and lactation : a reference guide to fetal and neonatal risk / Gerald G. Briggs, Roger K. Freeman, Sumner J. Yaffe.</t>
  </si>
  <si>
    <t>Briggs, Gerald G.</t>
  </si>
  <si>
    <t>Baltimore : Williams &amp; Wilkins, c1994.</t>
  </si>
  <si>
    <t>2001-06-19</t>
  </si>
  <si>
    <t>1994-05-25</t>
  </si>
  <si>
    <t>QV 38 B854d 1998</t>
  </si>
  <si>
    <t>0                      QV 0038000B  854d        1998</t>
  </si>
  <si>
    <t>Baltimore : Williams &amp; Wilkins, c1998.</t>
  </si>
  <si>
    <t>1999-05-04</t>
  </si>
  <si>
    <t>1998-10-29</t>
  </si>
  <si>
    <t>QV 38 C641 1989</t>
  </si>
  <si>
    <t>0                      QV 0038000C  641         1989</t>
  </si>
  <si>
    <t>Clinical pharmacokinetics : Drug data handbook 1989.</t>
  </si>
  <si>
    <t>Auckland, New Zealand : ADIS Press, c1989.</t>
  </si>
  <si>
    <t>1989-04-12</t>
  </si>
  <si>
    <t>QV 38 C6413 1988</t>
  </si>
  <si>
    <t>0                      QV 0038000C  6413        1988</t>
  </si>
  <si>
    <t>Clinical pharmacology and nursing / [edited by] Charold L. Baer, Bradley R. Williams.</t>
  </si>
  <si>
    <t>Springhouse, Pa. : Springhouse Pub. Co., c1988.</t>
  </si>
  <si>
    <t>1988-07-08</t>
  </si>
  <si>
    <t>QV 38 C6417 1985</t>
  </si>
  <si>
    <t>0                      QV 0038000C  6417        1985</t>
  </si>
  <si>
    <t>Clinical pharmacology and therapeutics in nursing.</t>
  </si>
  <si>
    <t>New York : McGraw-Hill, c1985.</t>
  </si>
  <si>
    <t>2nd ed. / [edited by] Mathew B. Wiener, Ginette A. Pepper.</t>
  </si>
  <si>
    <t>1989-11-20</t>
  </si>
  <si>
    <t>1988-10-26</t>
  </si>
  <si>
    <t>QV 38 C855m 1994</t>
  </si>
  <si>
    <t>0                      QV 0038000C  855m        1994</t>
  </si>
  <si>
    <t>Molecular mechanisms of drug action / Christopher J. Coulson.</t>
  </si>
  <si>
    <t>Coulson, Christopher J.</t>
  </si>
  <si>
    <t>London ; Bristol, Pa. : Taylor &amp; Francis, c1994.</t>
  </si>
  <si>
    <t>1997-11-29</t>
  </si>
  <si>
    <t>1995-02-22</t>
  </si>
  <si>
    <t>QV 38 C976d 1980</t>
  </si>
  <si>
    <t>0                      QV 0038000C  976d        1980</t>
  </si>
  <si>
    <t>Drug disposition and pharmacokinetics : with a consideration of pharmacological and clinical relationships / Stephen H. Curry.</t>
  </si>
  <si>
    <t>Curry, Stephen H.</t>
  </si>
  <si>
    <t>Oxford ; Boston : Blackwell Scientific, 1980.</t>
  </si>
  <si>
    <t>1989-11-03</t>
  </si>
  <si>
    <t>QV 38 D7967f 2001</t>
  </si>
  <si>
    <t>0                      QV 0038000D  7967f       2001</t>
  </si>
  <si>
    <t>The forensic pharmacology of drugs of abuse / Olaf H. Drummer ; with a contribution by Morris Odell.</t>
  </si>
  <si>
    <t>Drummer, Olaf H.</t>
  </si>
  <si>
    <t>London : Arnold ; New York : Oxford University Press [distributor], 2001.</t>
  </si>
  <si>
    <t>2003-01-27</t>
  </si>
  <si>
    <t>2003-01-24</t>
  </si>
  <si>
    <t>QV38 E24p 2000</t>
  </si>
  <si>
    <t>0                      QV 0038000E  24p         2000</t>
  </si>
  <si>
    <t>Pharmacology for the primary care provider / Marilyn Winterton Edmunds, Maren Stewart Mayhew.</t>
  </si>
  <si>
    <t>Edmunds, Marilyn W.</t>
  </si>
  <si>
    <t>St. Louis, Mo. : Mosby, c2000.</t>
  </si>
  <si>
    <t>2000</t>
  </si>
  <si>
    <t>2002-10-17</t>
  </si>
  <si>
    <t>2002-06-26</t>
  </si>
  <si>
    <t>QV 38 E774 1998</t>
  </si>
  <si>
    <t>0                      QV 0038000E  774         1998</t>
  </si>
  <si>
    <t>Essentials of clinical pharmacology in nursing / [edited by] Bradley R. Williams, Charold L. Baer.</t>
  </si>
  <si>
    <t>Springhouse, Pa. : Springhouse Corp., c1998.</t>
  </si>
  <si>
    <t>2001-08-07</t>
  </si>
  <si>
    <t>1999-11-04</t>
  </si>
  <si>
    <t>QV 38 E78 1989</t>
  </si>
  <si>
    <t>0                      QV 0038000E  78          1989</t>
  </si>
  <si>
    <t>Essentials of pharmacology / [edited by] P. Michael Conn, G.F. Gebhart.</t>
  </si>
  <si>
    <t>Philadelphia : Davis, c1989.</t>
  </si>
  <si>
    <t>Essentials of medical education series</t>
  </si>
  <si>
    <t>1999-08-08</t>
  </si>
  <si>
    <t>QV 38 F726 1990</t>
  </si>
  <si>
    <t>0                      QV 0038000F  726         1990</t>
  </si>
  <si>
    <t>Formulation factors in adverse reactions / edited by A.T. Florence and E.G. Salole.</t>
  </si>
  <si>
    <t>London ; Boston : Wright, c1990.</t>
  </si>
  <si>
    <t>Topics in pharmacy ; v. 1</t>
  </si>
  <si>
    <t>1990-08-14</t>
  </si>
  <si>
    <t>QV 38 G437p 1975</t>
  </si>
  <si>
    <t>0                      QV 0038000G  437p        1975</t>
  </si>
  <si>
    <t>Pharmacokinetics / Milo Gibaldi, Donald Perrier.</t>
  </si>
  <si>
    <t>Gibaldi, Milo.</t>
  </si>
  <si>
    <t>New York : M. Dekker, c1975.</t>
  </si>
  <si>
    <t>Drugs and the pharmaceutical sciences ; v. 1</t>
  </si>
  <si>
    <t>2003-05-24</t>
  </si>
  <si>
    <t>1988-03-02</t>
  </si>
  <si>
    <t>QV38 G448i 1986</t>
  </si>
  <si>
    <t>0                      QV 0038000G  448i        1986</t>
  </si>
  <si>
    <t>Introduction to drug metabolism / G. Gordon Gibson and Paul Skett.</t>
  </si>
  <si>
    <t>Gibson, G. Gordon.</t>
  </si>
  <si>
    <t>London ; New York : Chapman and Hall, 1986.</t>
  </si>
  <si>
    <t>2000-11-28</t>
  </si>
  <si>
    <t>1987-08-27</t>
  </si>
  <si>
    <t>QV 38 H2364 1983</t>
  </si>
  <si>
    <t>0                      QV 0038000H  2364        1983</t>
  </si>
  <si>
    <t>Handbook of clinical pharmacokinetics / editors, Milo Gibaldi and Laurie Prescott.</t>
  </si>
  <si>
    <t>New York : ADIS Health Science Press, c1983.</t>
  </si>
  <si>
    <t>QV 38 H251d 1985</t>
  </si>
  <si>
    <t>0                      QV 0038000H  251d        1985</t>
  </si>
  <si>
    <t>Drug interactions : clinical significance of drug-drug interactions / Philip D. Hansten.</t>
  </si>
  <si>
    <t>Hansten, Philip D.</t>
  </si>
  <si>
    <t>Philadelphia : Lea &amp; Febiger, c1985.</t>
  </si>
  <si>
    <t>1990-10-16</t>
  </si>
  <si>
    <t>QV 38 H917 1993</t>
  </si>
  <si>
    <t>0                      QV 0038000H  917         1993</t>
  </si>
  <si>
    <t>Human drug metabolism : from molecular biology to man / edited by Elizabeth H. Jeffery.</t>
  </si>
  <si>
    <t>Boca Raton : CRC Press, c1993.</t>
  </si>
  <si>
    <t>2004-08-20</t>
  </si>
  <si>
    <t>QV 38 I61 1997</t>
  </si>
  <si>
    <t>0                      QV 0038000I  61          1997</t>
  </si>
  <si>
    <t>Integrated pharmacology / by Clive P. Page ... [et al.]</t>
  </si>
  <si>
    <t>London : Mosby, c1997.</t>
  </si>
  <si>
    <t>2003-11-09</t>
  </si>
  <si>
    <t>1997-09-10</t>
  </si>
  <si>
    <t>QV 38 J54p 2006</t>
  </si>
  <si>
    <t>0                      QV 0038000J  54p         2006</t>
  </si>
  <si>
    <t>Pharmacology and drug administration for imaging technologists / Steven C. Jensen, Michael P. Peppers.</t>
  </si>
  <si>
    <t>Jensen, Steven C.</t>
  </si>
  <si>
    <t>St. Louis : Mosby/Elsevier, c2006.</t>
  </si>
  <si>
    <t>2006-11-16</t>
  </si>
  <si>
    <t>2006-09-14</t>
  </si>
  <si>
    <t>QV 38 J65 1993</t>
  </si>
  <si>
    <t>0                      QV 0038000J  65          1993</t>
  </si>
  <si>
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</si>
  <si>
    <t>New York : Rebus : Distributed by Random House, c1993.</t>
  </si>
  <si>
    <t>1994-02-28</t>
  </si>
  <si>
    <t>1994-02-18</t>
  </si>
  <si>
    <t>QV 38 K33p 1987</t>
  </si>
  <si>
    <t>0                      QV 0038000K  33p         1987</t>
  </si>
  <si>
    <t>Pharmacologic analysis of drug-receptor interaction / Terrence P. Kenakin.</t>
  </si>
  <si>
    <t>Kenakin, Terrence P.</t>
  </si>
  <si>
    <t>New York : Raven Press, c1987.</t>
  </si>
  <si>
    <t>2006-10-02</t>
  </si>
  <si>
    <t>1987-10-21</t>
  </si>
  <si>
    <t>QV 38 L379e 1964</t>
  </si>
  <si>
    <t>0                      QV 0038000L  379e        1964</t>
  </si>
  <si>
    <t>Evaluation of drug activities : pharmacometrics / edited by D.R. Laurence and A.L. Bacharach.</t>
  </si>
  <si>
    <t>Laurence, D. R. (Desmond Roger) editor.</t>
  </si>
  <si>
    <t>London, New York : Academic Press, 1964.</t>
  </si>
  <si>
    <t>1964</t>
  </si>
  <si>
    <t>1991-04-12</t>
  </si>
  <si>
    <t>1988-03-25</t>
  </si>
  <si>
    <t>QV 38 L473o 1980 v.2</t>
  </si>
  <si>
    <t>0                      QV 0038000L  473o        1980                                        v.2</t>
  </si>
  <si>
    <t>The organic chemistry of drug synthesis : Volume 2 / Daniel Lednicer, Lester A. Mitscher.</t>
  </si>
  <si>
    <t>Lednicer, Daniel, 1929-</t>
  </si>
  <si>
    <t>New York : Wiley, c1980.</t>
  </si>
  <si>
    <t>1989-02-24</t>
  </si>
  <si>
    <t>QV 38 L665 1983</t>
  </si>
  <si>
    <t>0                      QV 0038000L  665         1983</t>
  </si>
  <si>
    <t>Pharmacology : drug actions and reactions / Ruth R. Levine ; foreword by Byron B. Clark.</t>
  </si>
  <si>
    <t>Levine, Ruth R.</t>
  </si>
  <si>
    <t>Boston, Mass. : Little, Brown, c1983.</t>
  </si>
  <si>
    <t>2003-06-30</t>
  </si>
  <si>
    <t>QV38 L665p 2005</t>
  </si>
  <si>
    <t>0                      QV 0038000L  665p        2005</t>
  </si>
  <si>
    <t>Levine's pharmacology : drug actions and reactions.</t>
  </si>
  <si>
    <t>Walsh, Carol T.</t>
  </si>
  <si>
    <t>London : Taylor &amp; Francis, 2005.</t>
  </si>
  <si>
    <t>7th ed. / Carol T. Walsh, Rochelle D. Schwarz-Bloom.</t>
  </si>
  <si>
    <t>2006-06-25</t>
  </si>
  <si>
    <t>2005-02-03</t>
  </si>
  <si>
    <t>QV38 M592 1976 PT. 2</t>
  </si>
  <si>
    <t>0                      QV 0038000M  592         1976                                        PT. 2</t>
  </si>
  <si>
    <t>Methods in receptor research / edited by Melvin Blecher.</t>
  </si>
  <si>
    <t>PT. 2*</t>
  </si>
  <si>
    <t>New York : M. Dekker, 1976-</t>
  </si>
  <si>
    <t>Methods in molecular biology ; v. 9</t>
  </si>
  <si>
    <t>2002-04-08</t>
  </si>
  <si>
    <t>1991-03-05</t>
  </si>
  <si>
    <t>QV 38 M612s 1952</t>
  </si>
  <si>
    <t>0                      QV 0038000M  612s        1952</t>
  </si>
  <si>
    <t>Side effects of drugs / Translated by Ph. Vuijsje and W. Mulhall Corbet.</t>
  </si>
  <si>
    <t>Meyler, L.</t>
  </si>
  <si>
    <t>Amsterdam ; Houston : Elsevier Pub. Co., c1952.</t>
  </si>
  <si>
    <t>1952</t>
  </si>
  <si>
    <t>1991-10-29</t>
  </si>
  <si>
    <t>QV 38 M613t 1985</t>
  </si>
  <si>
    <t>0                      QV 0038000M  613t        1985</t>
  </si>
  <si>
    <t>The therapeutic equivalence of drug products : a second look / Marvin C. Meyer.</t>
  </si>
  <si>
    <t>Meyer, Marvin C.</t>
  </si>
  <si>
    <t>[Chattanooga, Tenn.] : University of Tennessee, Center for the Health Sciences, College of Pharmacy, [1985]</t>
  </si>
  <si>
    <t>1993-03-23</t>
  </si>
  <si>
    <t>QV 38 MO167T 1976 v.9</t>
  </si>
  <si>
    <t>0                      QV 0038000MO 167T        1976                                        v.9</t>
  </si>
  <si>
    <t>Hormone-receptor interaction : molecular aspects / edited by Gerald S. Levey.</t>
  </si>
  <si>
    <t>V. 9</t>
  </si>
  <si>
    <t>New York : Dekker, c1976.</t>
  </si>
  <si>
    <t>Modern pharmacology-toxicology ; v. 9</t>
  </si>
  <si>
    <t>1993-03-01</t>
  </si>
  <si>
    <t>1988-02-04</t>
  </si>
  <si>
    <t>QV 38 MO167T 1978 v.11</t>
  </si>
  <si>
    <t>0                      QV 0038000MO 167T        1978                                        v.11</t>
  </si>
  <si>
    <t>Receptors in pharmacology / [edited by] John R. Smythies, Ronald J. Bradley.</t>
  </si>
  <si>
    <t>V.11</t>
  </si>
  <si>
    <t>New York : Dekker, c1978.</t>
  </si>
  <si>
    <t>Modern pharmacology-toxicology ; v. 11</t>
  </si>
  <si>
    <t>2008-05-25</t>
  </si>
  <si>
    <t>QV 38 MO167T 1982 v.20</t>
  </si>
  <si>
    <t>0                      QV 0038000MO 167T        1982                                        v.20</t>
  </si>
  <si>
    <t>Endorphins : chemistry, physiology, pharmacology, and clinical relevance / edited by Jeffrey B. Malick, Robert M.S. Bell.</t>
  </si>
  <si>
    <t>V. 20</t>
  </si>
  <si>
    <t>New York : Dekker, c1982.</t>
  </si>
  <si>
    <t>Modern pharmacology-toxicology ; v. 20</t>
  </si>
  <si>
    <t>1991-06-17</t>
  </si>
  <si>
    <t>QV 38 N812 1994</t>
  </si>
  <si>
    <t>0                      QV 0038000N  812         1994</t>
  </si>
  <si>
    <t>Noncompliance with medications : an economic tragedy with important implications for health care reform : a report / by The Task Force for Compliance.</t>
  </si>
  <si>
    <t>Baltimore, Md. : The Task Force for Compliance, 1994</t>
  </si>
  <si>
    <t>2009-07-31</t>
  </si>
  <si>
    <t>QV 38 P5315 1991</t>
  </si>
  <si>
    <t>0                      QV 0038000P  5315        1991</t>
  </si>
  <si>
    <t>Pharmaceutical bioequivalence / edited by Peter G. Welling, Francis L.S. Tse, Shrikant V. Dighe.</t>
  </si>
  <si>
    <t>New York : Dekker, c1991.</t>
  </si>
  <si>
    <t>Drugs and the pharmaceutical sciences ; v. 48</t>
  </si>
  <si>
    <t>2004-12-21</t>
  </si>
  <si>
    <t>1991-10-30</t>
  </si>
  <si>
    <t>QV38 P5319 2005</t>
  </si>
  <si>
    <t>0                      QV 0038000P  5319        2005</t>
  </si>
  <si>
    <t>Pharmacogenomics / [edited by] Werner Kalow, Urs A. Meyer, Rachel F. Tyndale.</t>
  </si>
  <si>
    <t>Boca Raton : Taylor &amp; Francis, 2005.</t>
  </si>
  <si>
    <t>Drugs and the pharmaceutical sciences ; 156</t>
  </si>
  <si>
    <t>2010-08-29</t>
  </si>
  <si>
    <t>2006-04-06</t>
  </si>
  <si>
    <t>QV 38 P5355 1994</t>
  </si>
  <si>
    <t>0                      QV 0038000P  5355        1994</t>
  </si>
  <si>
    <t>The Pharmacologic approach to the critically ill patient / editor, Bart Chernow ; associate editors, John W. Holaday, Gary P. Zaloga, Arno L. Zaritsky ; editorial assistant, Lisa Daniel.</t>
  </si>
  <si>
    <t>Baltimore, MD : Williams &amp; Wilkins, c1994.</t>
  </si>
  <si>
    <t>1997-05-05</t>
  </si>
  <si>
    <t>1994-01-11</t>
  </si>
  <si>
    <t>QV 38 P536 1977-81</t>
  </si>
  <si>
    <t>0                      QV 0038000P  536         1977                                        -81</t>
  </si>
  <si>
    <t>Pharmacological and biochemical properties of drug substances / Morton E. Goldberg, editor.</t>
  </si>
  <si>
    <t>Washington : American Pharmaceutical Association, Academy of Pharmaceutical Sciences, c1977-1981.</t>
  </si>
  <si>
    <t>2007-02-04</t>
  </si>
  <si>
    <t>1987-12-11</t>
  </si>
  <si>
    <t>1989-07-21</t>
  </si>
  <si>
    <t>V. 3</t>
  </si>
  <si>
    <t>QV 38 P698b 1977</t>
  </si>
  <si>
    <t>0                      QV 0038000P  698b        1977</t>
  </si>
  <si>
    <t>Basic concepts in biopharmaceutics : an introduction / Fotios M. Plakogiannis and Anthony J. Cutie.</t>
  </si>
  <si>
    <t>Plakogiannis, Fotios M.</t>
  </si>
  <si>
    <t>-- Brooklyn, N. Y. : Brooklyn Medical Press, 1977.</t>
  </si>
  <si>
    <t>1998-04-29</t>
  </si>
  <si>
    <t>QV 38 P957 1989</t>
  </si>
  <si>
    <t>0                      QV 0038000P  957         1989</t>
  </si>
  <si>
    <t>Principles of medical pharmacology.</t>
  </si>
  <si>
    <t>Toronto ; Philadelphia : Decker ; Saint Louis, Mo. : Mosby, [U.S. distributor], c1989.</t>
  </si>
  <si>
    <t>5th ed. / [edited by] Harold Kalant, Walter H.E. Roschlau.</t>
  </si>
  <si>
    <t>onc</t>
  </si>
  <si>
    <t>2008-06-17</t>
  </si>
  <si>
    <t>1989-11-18</t>
  </si>
  <si>
    <t>QV 38 P957 1990</t>
  </si>
  <si>
    <t>0                      QV 0038000P  957         1990</t>
  </si>
  <si>
    <t>Principles of drug action : the basis of pharmacology.</t>
  </si>
  <si>
    <t>New York : Churchill Livingstone, c1990.</t>
  </si>
  <si>
    <t>3rd ed. / edited by William B. Pratt, Palmer Taylor.</t>
  </si>
  <si>
    <t>2004-09-07</t>
  </si>
  <si>
    <t>QV 38 PR524E 1976 v.10</t>
  </si>
  <si>
    <t>0                      QV 0038000PR 524E        1976                                        v.10</t>
  </si>
  <si>
    <t>Patient compliance / edited by Louis Lasagna.</t>
  </si>
  <si>
    <t>V. 10</t>
  </si>
  <si>
    <t>Mount Kisco, N.Y. : Futura Pub. Co., c1976.</t>
  </si>
  <si>
    <t>Principles and techniques of human research and therapeutics ; v. 10.</t>
  </si>
  <si>
    <t>1996-02-22</t>
  </si>
  <si>
    <t>1988-01-09</t>
  </si>
  <si>
    <t>QV 38 R236 1990</t>
  </si>
  <si>
    <t>0                      QV 0038000R  236         1990</t>
  </si>
  <si>
    <t>Rational therapeutics : a clinical pharmacologic guide for the health professional / edited by Roger L. Williams, D. Craig Brater, Joyce Mordenti.</t>
  </si>
  <si>
    <t>V. 16</t>
  </si>
  <si>
    <t>New York : M. Dekker, c1990.</t>
  </si>
  <si>
    <t>Clinical pharmacology ; v. 16</t>
  </si>
  <si>
    <t>1995-12-11</t>
  </si>
  <si>
    <t>1990-07-03</t>
  </si>
  <si>
    <t>QV 38 R29435 1999</t>
  </si>
  <si>
    <t>0                      QV 0038000R  29435       1999</t>
  </si>
  <si>
    <t>Receptor binding techniques / edited by Mary Keen.</t>
  </si>
  <si>
    <t>Totowa, N.J. : Humana Press, c1999.</t>
  </si>
  <si>
    <t>Methods in molecular biology ; v. 106</t>
  </si>
  <si>
    <t>2008-05-05</t>
  </si>
  <si>
    <t>2000-02-18</t>
  </si>
  <si>
    <t>QV 38 R295</t>
  </si>
  <si>
    <t>0                      QV 0038000R  295</t>
  </si>
  <si>
    <t>The Receptors : a comprehensive treatise / edited by R. D. O'Brien.</t>
  </si>
  <si>
    <t>-- New York : Plenum Press, c1979-</t>
  </si>
  <si>
    <t>1988-04-18</t>
  </si>
  <si>
    <t>QV 38 R612h 1980</t>
  </si>
  <si>
    <t>0                      QV 0038000R  612h        1980</t>
  </si>
  <si>
    <t>Handbook of basic pharmacokinetics / by W.A. Ritschel.</t>
  </si>
  <si>
    <t>Ritschel, W. A. (Wolfgang A.)</t>
  </si>
  <si>
    <t>Hamilton, Ill. : Drug Intelligence Publications, c1980.</t>
  </si>
  <si>
    <t>2006-08-20</t>
  </si>
  <si>
    <t>QV 38 R628i 2000</t>
  </si>
  <si>
    <t>0                      QV 0038000R  628i        2000</t>
  </si>
  <si>
    <t>Introductory clinical pharmacology / Sally S. Roach, Jeanne C. Scherer.</t>
  </si>
  <si>
    <t>Roach, Sally S.</t>
  </si>
  <si>
    <t>Philadelphia : Lippincott, c2000.</t>
  </si>
  <si>
    <t>2006-07-03</t>
  </si>
  <si>
    <t>2000-02-08</t>
  </si>
  <si>
    <t>QV 38 R698d 1989</t>
  </si>
  <si>
    <t>0                      QV 0038000R  698d        1989</t>
  </si>
  <si>
    <t>Diet and drug interactions / Daphne A. Roe.</t>
  </si>
  <si>
    <t>Roe, Daphne A., 1923-</t>
  </si>
  <si>
    <t>New York : Van Nostrand Reinhold Co., c1988.</t>
  </si>
  <si>
    <t>1997-09-24</t>
  </si>
  <si>
    <t>1989-02-07</t>
  </si>
  <si>
    <t>QV 38 S257h 1989</t>
  </si>
  <si>
    <t>0                      QV 0038000S  257h        1989</t>
  </si>
  <si>
    <t>Human drug kinetics : a course of simulated experiments / L. Saunders, D. Ingram, S.H.D. Jackson.</t>
  </si>
  <si>
    <t>Saunders, Leonard.</t>
  </si>
  <si>
    <t>Oxford, England ; New York : IRL Press, c1989.</t>
  </si>
  <si>
    <t>2002-04-15</t>
  </si>
  <si>
    <t>QV 38 S416 1986</t>
  </si>
  <si>
    <t>0                      QV 0038000S  416         1986</t>
  </si>
  <si>
    <t>The scientific basis of clinical pharmacology : principles and examples / [edited by] Reynold Spector.</t>
  </si>
  <si>
    <t>Boston : Little, Brown, c1986.</t>
  </si>
  <si>
    <t>1995-09-10</t>
  </si>
  <si>
    <t>QV 38 S531a 1985</t>
  </si>
  <si>
    <t>0                      QV 0038000S  531a        1985</t>
  </si>
  <si>
    <t>Applied biopharmaceutics and pharmacokinetics / Leon Shargel, Andrew B.C. Yu.</t>
  </si>
  <si>
    <t>Shargel, Leon, 1941-</t>
  </si>
  <si>
    <t>2010-09-22</t>
  </si>
  <si>
    <t>QV 38 S985c 1974</t>
  </si>
  <si>
    <t>0                      QV 0038000S  985c        1974</t>
  </si>
  <si>
    <t>Clinical pharmacokinetics : a symposium / [edited by Gerhard Levy].</t>
  </si>
  <si>
    <t>Symposium on Clinical Pharmacokinetics (1974 : New Orleans, La.)</t>
  </si>
  <si>
    <t>-- [Washington] : American Pharmaceutical Association, Academy of Pharmaceutical Sciences, 1974.</t>
  </si>
  <si>
    <t>1994-10-06</t>
  </si>
  <si>
    <t>QV 38 T1855 1991</t>
  </si>
  <si>
    <t>0                      QV 0038000T  1855        1991</t>
  </si>
  <si>
    <t>Targeting of drugs 3 : the challenge of peptides and proteins / edited by Gregory Gregoriadis and Alexander T. Florence, and George Poste.</t>
  </si>
  <si>
    <t>New York : Plenum Press, c1992.</t>
  </si>
  <si>
    <t>NATO ASI series. Series A, Life sciences ; v. 238</t>
  </si>
  <si>
    <t>1998-03-23</t>
  </si>
  <si>
    <t>QV 38 T355 1985</t>
  </si>
  <si>
    <t>0                      QV 0038000T  355         1985</t>
  </si>
  <si>
    <t>Textbook of adverse drug reactions / edited by D.M. Davies.</t>
  </si>
  <si>
    <t>Oxford ; New York : Oxford University Press, 1987 reprint, c1985.</t>
  </si>
  <si>
    <t>Oxford medical publications</t>
  </si>
  <si>
    <t>2003-07-15</t>
  </si>
  <si>
    <t>1989-03-10</t>
  </si>
  <si>
    <t>QV 38 T355 1991</t>
  </si>
  <si>
    <t>0                      QV 0038000T  355         1991</t>
  </si>
  <si>
    <t>Oxford [Oxfordshire] ; New York : Oxford University Press, c1991.</t>
  </si>
  <si>
    <t>2002-08-14</t>
  </si>
  <si>
    <t>1991-11-12</t>
  </si>
  <si>
    <t>QV 38 W277c 1983</t>
  </si>
  <si>
    <t>0                      QV 0038000W  277c        1983</t>
  </si>
  <si>
    <t>Clinical pharmacokinetics : a modern approach to individualized drug therapy / by Joseph Wartak.</t>
  </si>
  <si>
    <t>Wartak, Joseph.</t>
  </si>
  <si>
    <t>New York : Praeger, c1983.</t>
  </si>
  <si>
    <t>Clinical pharmacology and therapeutics series ; v. 2</t>
  </si>
  <si>
    <t>1992-09-27</t>
  </si>
  <si>
    <t>QV 38 W786b 1994</t>
  </si>
  <si>
    <t>0                      QV 0038000W  786b        1994</t>
  </si>
  <si>
    <t>Basic clinical pharmacokinetics / Michael E. Winter ; edited by Mary Anne Koda-Kimble, Lloyd Y. Young.</t>
  </si>
  <si>
    <t>Winter, Michael E.</t>
  </si>
  <si>
    <t>Vancouver, WA : Applied Therapeutics, c1994.</t>
  </si>
  <si>
    <t>wau</t>
  </si>
  <si>
    <t>2007-07-30</t>
  </si>
  <si>
    <t>1995-01-05</t>
  </si>
  <si>
    <t>QV 38.3 C752c 1979</t>
  </si>
  <si>
    <t>0                      QV 0038300C  752c        1979</t>
  </si>
  <si>
    <t>Chemical stability of pharmaceuticals : a handbook for pharmacists / Kenneth A. Connors, Gordon L. Amidon, Lloyd Kennon.</t>
  </si>
  <si>
    <t>Connors, Kenneth A. (Kenneth Antonio), 1932-</t>
  </si>
  <si>
    <t>-- New York : Wiley, c1979.</t>
  </si>
  <si>
    <t>1994-07-05</t>
  </si>
  <si>
    <t>1988-03-23</t>
  </si>
  <si>
    <t>QV 39 A798a 2009</t>
  </si>
  <si>
    <t>0                      QV 0039000A  798a        2009</t>
  </si>
  <si>
    <t>Antiepileptic drugs : a clinician's manual / Ali A. Asadi-Pooya, Michael R. Sperling.</t>
  </si>
  <si>
    <t>Asadi-Pooya, Ali A., 1973-</t>
  </si>
  <si>
    <t>Oxford ; New York : Oxford University Press, c2009.</t>
  </si>
  <si>
    <t>Oxford American neurology library</t>
  </si>
  <si>
    <t>2009-06-30</t>
  </si>
  <si>
    <t>2009-06-29</t>
  </si>
  <si>
    <t>QV 39 B477m 1985</t>
  </si>
  <si>
    <t>0                      QV 0039000B  477m        1985</t>
  </si>
  <si>
    <t>Medical pharmacology / Peter J. Bentley.</t>
  </si>
  <si>
    <t>[New Hyde Park, N.Y.] : Medical Examination Pub. Co., c1985.</t>
  </si>
  <si>
    <t>1991-01-18</t>
  </si>
  <si>
    <t>1988-01-11</t>
  </si>
  <si>
    <t>QV 39 C594h 1999</t>
  </si>
  <si>
    <t>0                      QV 0039000C  594h        1999</t>
  </si>
  <si>
    <t>Handbook of nitrous oxide and oxygen sedation / Morris S. Clark, Ann L. Brunick.</t>
  </si>
  <si>
    <t>Clark, Morris S.</t>
  </si>
  <si>
    <t>St. Louis, Mo. : Mosby, c1999.</t>
  </si>
  <si>
    <t>2006-03-29</t>
  </si>
  <si>
    <t>1999-09-03</t>
  </si>
  <si>
    <t>QV39 C594h 2003</t>
  </si>
  <si>
    <t>0                      QV 0039000C  594h        2003</t>
  </si>
  <si>
    <t>Handbook of nitrous oxide and oxygen sedation / Morris Clark, Ann Brunick.</t>
  </si>
  <si>
    <t>St. Louis, Mo. : Mosby, c2003.</t>
  </si>
  <si>
    <t>2010-07-14</t>
  </si>
  <si>
    <t>QV 39 C6415 1988</t>
  </si>
  <si>
    <t>0                      QV 0039000C  6415        1988</t>
  </si>
  <si>
    <t>Clinical pharmacology, '88/'89 / edited by Bertram G. Katzung.</t>
  </si>
  <si>
    <t>Norwalk, Conn. : Appleton &amp; Lange, c1988.</t>
  </si>
  <si>
    <t>Lange clinical manual</t>
  </si>
  <si>
    <t>1993-01-24</t>
  </si>
  <si>
    <t>1989-02-04</t>
  </si>
  <si>
    <t>QV 39 C761m 1992</t>
  </si>
  <si>
    <t>0                      QV 0039000C  761m        1992</t>
  </si>
  <si>
    <t>Manual of antibiotics and infectious diseases / John E. Conte, Jr., Steven L. Barriere.</t>
  </si>
  <si>
    <t>Conte, John E.</t>
  </si>
  <si>
    <t>QV 39 D575h 1996</t>
  </si>
  <si>
    <t>0                      QV 0039000D  575h        1996</t>
  </si>
  <si>
    <t>Handbook of commonly prescribed drugs / G. John DiGregorio, Edward J. Barbieri.</t>
  </si>
  <si>
    <t>DiGregorio, G. John.</t>
  </si>
  <si>
    <t>West Chester, PA : Medical Surveillance Inc., 1996.</t>
  </si>
  <si>
    <t>11th ed.</t>
  </si>
  <si>
    <t>2005-12-01</t>
  </si>
  <si>
    <t>1998-08-04</t>
  </si>
  <si>
    <t>QV 39 D771h 1987</t>
  </si>
  <si>
    <t>0                      QV 0039000D  771h        1987</t>
  </si>
  <si>
    <t>Handbook of poisoning : prevention, diagnosis &amp; treatment / Robert H. Dreisbach, William O. Robertson.</t>
  </si>
  <si>
    <t>Dreisbach, Robert H. (Robert Hastings), 1916-</t>
  </si>
  <si>
    <t>Norwalk, Conn. : Appleton &amp; Lange, c1987.</t>
  </si>
  <si>
    <t>12th ed.</t>
  </si>
  <si>
    <t>A Concise medical library for practitioner and student.</t>
  </si>
  <si>
    <t>1996-10-20</t>
  </si>
  <si>
    <t>1987-08-21</t>
  </si>
  <si>
    <t>QV39 D781 2003</t>
  </si>
  <si>
    <t>0                      QV 0039000D  781         2003</t>
  </si>
  <si>
    <t>Drug information handbook for the allied health professional with indication/therapeutic category index / Leonard L. Lance, senior editor ; Charles F. Lacy, editor.</t>
  </si>
  <si>
    <t>Hudson, OH : Lexi-Comp, Inc. ; [Washington, D.C.] : American Pharmaceutical Association, c2003.</t>
  </si>
  <si>
    <t>ohu</t>
  </si>
  <si>
    <t>Drug information series (Lexi-Comp, Inc.)</t>
  </si>
  <si>
    <t>2007-12-04</t>
  </si>
  <si>
    <t>2004-04-02</t>
  </si>
  <si>
    <t>QV 39 D79365 1992</t>
  </si>
  <si>
    <t>0                      QV 0039000D  79365       1992</t>
  </si>
  <si>
    <t>Drug handbook : a nursing process approach / R. Alfaro-LeFevre ... [et al.].</t>
  </si>
  <si>
    <t>Redwood City, Calif. : Addison-Wesley Nursing, c1992.</t>
  </si>
  <si>
    <t>1992-04-23</t>
  </si>
  <si>
    <t>QV 39 D7942 1996</t>
  </si>
  <si>
    <t>0                      QV 0039000D  7942        1996</t>
  </si>
  <si>
    <t>Drug information : a guide for pharmacists / Patrick M. Malone ... [et al.] ; with a foreword by William G. Troutman.</t>
  </si>
  <si>
    <t>Stamford, CT : Appleton &amp; Lange, c1996.</t>
  </si>
  <si>
    <t>2003-01-29</t>
  </si>
  <si>
    <t>1996-08-30</t>
  </si>
  <si>
    <t>QV 39 E53 1998</t>
  </si>
  <si>
    <t>0                      QV 0039000E  53          1998</t>
  </si>
  <si>
    <t>Emergency toxicology / edited by Peter Viccellio ; [section editors], Tod Bania ... [et al.].</t>
  </si>
  <si>
    <t>Philadelphia : Lippincott-Raven, c1998.</t>
  </si>
  <si>
    <t>2001-07-31</t>
  </si>
  <si>
    <t>1998-12-18</t>
  </si>
  <si>
    <t>QV 39 F198 1991</t>
  </si>
  <si>
    <t>0                      QV 0039000F  198         1991</t>
  </si>
  <si>
    <t>The Family practice drug handbook / Allan J. Ellsworth ... [et al.].</t>
  </si>
  <si>
    <t>1998-01-06</t>
  </si>
  <si>
    <t>1992-04-29</t>
  </si>
  <si>
    <t>QV 39 H2358 1988</t>
  </si>
  <si>
    <t>0                      QV 0039000H  2358        1988</t>
  </si>
  <si>
    <t>Handbook of clinical drug data.</t>
  </si>
  <si>
    <t>Hamilton, Ill. : Drug Intelligence Publications, c1988.</t>
  </si>
  <si>
    <t>6th ed. / editors, James E. Knoben, Philip O. Anderson ; assistant editors, Larry J. Davis, William G. Troutman.</t>
  </si>
  <si>
    <t>1992-09-17</t>
  </si>
  <si>
    <t>1988-07-06</t>
  </si>
  <si>
    <t>QV 39 H2358 1993</t>
  </si>
  <si>
    <t>0                      QV 0039000H  2358        1993</t>
  </si>
  <si>
    <t>Handbook of clinical drug data / editors, James E. Knoben, Philip O. Anderson ; associate editor, William G. Troutman : assistant editor, Larry J. Davis.</t>
  </si>
  <si>
    <t>Hamilton, Ill. : Drug Intelligence Publications, c1993..</t>
  </si>
  <si>
    <t>1998-10-15</t>
  </si>
  <si>
    <t>1993-01-21</t>
  </si>
  <si>
    <t>QV39 H23636 2004</t>
  </si>
  <si>
    <t>0                      QV 0039000H  23636       2004</t>
  </si>
  <si>
    <t>Handbook of drug-nutrient interactions / edited by Joseph I. Boullata, and Vincent T. Armenti ; foreword by Margaret Malone.</t>
  </si>
  <si>
    <t>Totowa, N.J. : Humana Press, c2004.</t>
  </si>
  <si>
    <t>Nutrition and health</t>
  </si>
  <si>
    <t>2005-10-28</t>
  </si>
  <si>
    <t>QV 39 H23642 1992</t>
  </si>
  <si>
    <t>0                      QV 0039000H  23642       1992</t>
  </si>
  <si>
    <t>Handbook of psychotropic drugs.</t>
  </si>
  <si>
    <t>Springhouse, Pa. : Springhouse Corporation, c1992.</t>
  </si>
  <si>
    <t>1992-12-23</t>
  </si>
  <si>
    <t>QV 39 H262h 1992</t>
  </si>
  <si>
    <t>0                      QV 0039000H  262h        1992</t>
  </si>
  <si>
    <t>Handbook of drug therapy in rheumatic disease : pharmacology and clinical aspects / Joe G. Hardin, Jr., Gesina L. Longenecker.</t>
  </si>
  <si>
    <t>Hardin, Joe G., 1937-</t>
  </si>
  <si>
    <t>Boston : Little, Brown, c1992.</t>
  </si>
  <si>
    <t>1992-02-18</t>
  </si>
  <si>
    <t>QV 39 K185z 2009</t>
  </si>
  <si>
    <t>0                      QV 0039000K  185z        2009</t>
  </si>
  <si>
    <t>2009 Lippincott's nursing drug guide / Amy M. Karch.</t>
  </si>
  <si>
    <t>Karch, Amy Morrison, 1949-</t>
  </si>
  <si>
    <t>Philadelphia : Lippincott Williams &amp; Wilkens, c2009.</t>
  </si>
  <si>
    <t>2010-10-20</t>
  </si>
  <si>
    <t>2009-04-28</t>
  </si>
  <si>
    <t>QV 39 L675h 1991</t>
  </si>
  <si>
    <t>0                      QV 0039000L  675h        1991</t>
  </si>
  <si>
    <t>Hazardous chemicals desk reference / Richard J. Lewis, Sr.</t>
  </si>
  <si>
    <t>Lewis, Richard J., Sr., 1939-2018.</t>
  </si>
  <si>
    <t>New York : Van Nostrand Reinhold, c1991.</t>
  </si>
  <si>
    <t>2006-11-02</t>
  </si>
  <si>
    <t>1992-11-20</t>
  </si>
  <si>
    <t>QV 39 L848e 1987</t>
  </si>
  <si>
    <t>0                      QV 0039000L  848e        1987</t>
  </si>
  <si>
    <t>The essential guide to prescription drugs / James W. Long.</t>
  </si>
  <si>
    <t>Long, James W.</t>
  </si>
  <si>
    <t>New York : Harper &amp; Row, c1987.</t>
  </si>
  <si>
    <t>2000-04-06</t>
  </si>
  <si>
    <t>1987-11-20</t>
  </si>
  <si>
    <t>QV 39 M744a 1996</t>
  </si>
  <si>
    <t>0                      QV 0039000M  744a        1996</t>
  </si>
  <si>
    <t>Antibiotic selection in obstetrics and gynecology / Gilles R.G. Monif.</t>
  </si>
  <si>
    <t>Monif, Gilles R. G.</t>
  </si>
  <si>
    <t>Omaha : IDI Publications, [New York?] : Distributed by Parthenon Pub., c1996.</t>
  </si>
  <si>
    <t>2004-02-01</t>
  </si>
  <si>
    <t>1997-02-18</t>
  </si>
  <si>
    <t>QV39 M8941 2008</t>
  </si>
  <si>
    <t>0                      QV 0039000M  8941        2008</t>
  </si>
  <si>
    <t>Mosby's 2008 nursing drug reference / Linda Skidmore-Roth.</t>
  </si>
  <si>
    <t>Skidmore-Roth, Linda.</t>
  </si>
  <si>
    <t>St. Louis, Mo. ; London : Elsevier Mosby, 2007.</t>
  </si>
  <si>
    <t>2007-11-19</t>
  </si>
  <si>
    <t>QV39 N854c 2004</t>
  </si>
  <si>
    <t>0                      QV 0039000N  854c        2004</t>
  </si>
  <si>
    <t>Clinical research coordinator handbook / Deborrah Norris.</t>
  </si>
  <si>
    <t>Norris, Deborrah.</t>
  </si>
  <si>
    <t>Medford, N.J. : Plexus Pub., c2004.</t>
  </si>
  <si>
    <t>2005-02-08</t>
  </si>
  <si>
    <t>2005-02-04</t>
  </si>
  <si>
    <t>QV 39 N97478 2010</t>
  </si>
  <si>
    <t>0                      QV 0039000N  97478       2010</t>
  </si>
  <si>
    <t>2010 nursing spectrum drug handbook / Patricia Dwyer Schull.</t>
  </si>
  <si>
    <t>New York : McGraw-Hill Medical ; London : McGraw-Hill [distributor], 2009.</t>
  </si>
  <si>
    <t>2009-08-10</t>
  </si>
  <si>
    <t>QV 39 O56p 1995</t>
  </si>
  <si>
    <t>0                      QV 0039000O  56p         1995</t>
  </si>
  <si>
    <t>The pain drugs handbook / Sota Omoigui.</t>
  </si>
  <si>
    <t>Omoigui, Sota.</t>
  </si>
  <si>
    <t>St. Louis : Mosby, c1995.</t>
  </si>
  <si>
    <t>2006-10-05</t>
  </si>
  <si>
    <t>QV39 P464p 1997</t>
  </si>
  <si>
    <t>0                      QV 0039000P  464p        1997</t>
  </si>
  <si>
    <t>Psychotropic drug handbook / Paul J. Perry, Bruce Alexander, Barry I. Liskow.</t>
  </si>
  <si>
    <t>Perry, Paul J.</t>
  </si>
  <si>
    <t>Washington, DC : American Psychiatric Press, c1997.</t>
  </si>
  <si>
    <t>QV 39 P5355 1992</t>
  </si>
  <si>
    <t>0                      QV 0039000P  5355        1992</t>
  </si>
  <si>
    <t>Pharmacology / edited by Theoharis C. Theoharides.</t>
  </si>
  <si>
    <t>Boston: Little, Brown, c1992.</t>
  </si>
  <si>
    <t>2002-11-26</t>
  </si>
  <si>
    <t>1992-04-28</t>
  </si>
  <si>
    <t>QV 39 P895 1999</t>
  </si>
  <si>
    <t>0                      QV 0039000P  895         1999</t>
  </si>
  <si>
    <t>Practitioner's guide to psychoactive drugs for children and adolescents / edited by John Scott Werry and Michael G. Aman.</t>
  </si>
  <si>
    <t>New York : Plenum Medical Book Co., c1999.</t>
  </si>
  <si>
    <t>1999-03-19</t>
  </si>
  <si>
    <t>QV39 R612h 2004</t>
  </si>
  <si>
    <t>0                      QV 0039000R  612h        2004</t>
  </si>
  <si>
    <t>Handbook of basic pharmacokinetics-- including clinical applications / Wolfgang A. Ritschel, Gregory L. Kearns.</t>
  </si>
  <si>
    <t>Washington, D.C. : American Pharmacists Association, c2004.</t>
  </si>
  <si>
    <t>2004-11-02</t>
  </si>
  <si>
    <t>QV 39 S528g 1992</t>
  </si>
  <si>
    <t>0                      QV 0039000S  528g        1992</t>
  </si>
  <si>
    <t>Govoni &amp; Hayes drugs and nursing implications / Margaret T. Shannon, Billie Ann Wilson, with Carolyn L. Stang.</t>
  </si>
  <si>
    <t>Shannon, Margaret T.</t>
  </si>
  <si>
    <t>Norwalk, CT : Appleton &amp; Lange, c1992.</t>
  </si>
  <si>
    <t>2001-02-26</t>
  </si>
  <si>
    <t>1992-05-29</t>
  </si>
  <si>
    <t>QV39 S872h 2006</t>
  </si>
  <si>
    <t>0                      QV 0039000S  872h        2006</t>
  </si>
  <si>
    <t>Handbook of pharmacology &amp; physiology in anesthetic practice / by Robert K. Stoelting, Simon C. Hillier.</t>
  </si>
  <si>
    <t>Stoelting, Robert K.</t>
  </si>
  <si>
    <t>Philadelphia : Lippincott Williams &amp; Wilkins, c2006.</t>
  </si>
  <si>
    <t>2006-11-01</t>
  </si>
  <si>
    <t>2006-10-27</t>
  </si>
  <si>
    <t>QV 39 T749d 1990</t>
  </si>
  <si>
    <t>0                      QV 0039000T  749d        1990</t>
  </si>
  <si>
    <t>Drug guide for psychiatric nursing / Mary C. Townsend, in consultation with Virginia Farley French.</t>
  </si>
  <si>
    <t>Townsend, Mary C., 1941-</t>
  </si>
  <si>
    <t>Philadelphia : F.A. Davis Co., c1990.</t>
  </si>
  <si>
    <t>1990-08-07</t>
  </si>
  <si>
    <t>QV 39 V184d 1996</t>
  </si>
  <si>
    <t>0                      QV 0039000V  184d        1996</t>
  </si>
  <si>
    <t>Davis's guide to IV medications / April Hazard Vallerand, Judith Hopfer Deglin.</t>
  </si>
  <si>
    <t>Vallerand, April Hazard.</t>
  </si>
  <si>
    <t>Philadelphia : F.A. Davis, c1996.</t>
  </si>
  <si>
    <t>1996-06-24</t>
  </si>
  <si>
    <t>QV 39 W746n 2003</t>
  </si>
  <si>
    <t>0                      QV 0039000W  746n        2003</t>
  </si>
  <si>
    <t>Nurses drug guide 2003 / Billie Ann Wilson, Margaret T. Shannon, Carolyn L. Stang.</t>
  </si>
  <si>
    <t>Wilson, Billie Ann.</t>
  </si>
  <si>
    <t>Upper Saddle River, N.J. : Prentice Hall, c2003.</t>
  </si>
  <si>
    <t>2006-09-03</t>
  </si>
  <si>
    <t>2006-08-28</t>
  </si>
  <si>
    <t>QV39 W746n 2007</t>
  </si>
  <si>
    <t>0                      QV 0039000W  746n        2007</t>
  </si>
  <si>
    <t>Springhouse nurse's drug guide 2007.</t>
  </si>
  <si>
    <t>Philadelphia ; London : Lippincott Williams &amp; Wilkins, 2006.</t>
  </si>
  <si>
    <t>2008-01-24</t>
  </si>
  <si>
    <t>QV50 A191 2000</t>
  </si>
  <si>
    <t>0                      QV 0050000A  191         2000</t>
  </si>
  <si>
    <t>ADA guide to dental therapeutics.</t>
  </si>
  <si>
    <t>Chicago, Ill. : ADA Pub., c2000.</t>
  </si>
  <si>
    <t>2005-04-06</t>
  </si>
  <si>
    <t>QV 50 B261d 1990</t>
  </si>
  <si>
    <t>0                      QV 0050000B  261d        1990</t>
  </si>
  <si>
    <t>Drug dosage in laboratory animals : a handbook / R.E. Borchard, C.D. Barnes, L.G. Eltherington.</t>
  </si>
  <si>
    <t>Borchard, Ronald E.</t>
  </si>
  <si>
    <t>Caldwell, N.J. : Telford Press, 1991 printing, c1990.</t>
  </si>
  <si>
    <t>3rd ed. rev. and enl.</t>
  </si>
  <si>
    <t>2004-08-10</t>
  </si>
  <si>
    <t>1991-12-03</t>
  </si>
  <si>
    <t>QV 50 C383b 1995</t>
  </si>
  <si>
    <t>0                      QV 0050000C  383b        1995</t>
  </si>
  <si>
    <t>Basic pharmacology and clinical drug use in dentistry / R.A. Cawson, R.G. Spector, Ann M. Skelly.</t>
  </si>
  <si>
    <t>Cawson, R. A.</t>
  </si>
  <si>
    <t>stk</t>
  </si>
  <si>
    <t>Dental series</t>
  </si>
  <si>
    <t>2005-04-21</t>
  </si>
  <si>
    <t>1998-03-19</t>
  </si>
  <si>
    <t>QV 50 C383c 1985</t>
  </si>
  <si>
    <t>0                      QV 0050000C  383c        1985</t>
  </si>
  <si>
    <t>Clinical pharmacology in dentistry / R.A. Cawson, R.G. Spector.</t>
  </si>
  <si>
    <t>Edinburgh ; New York : Churchill Livingstone, c1985.</t>
  </si>
  <si>
    <t>Churchill Livingstone dental series</t>
  </si>
  <si>
    <t>1992-08-31</t>
  </si>
  <si>
    <t>QV 50 C42c 2008</t>
  </si>
  <si>
    <t>0                      QV 0050000C  42c         2008</t>
  </si>
  <si>
    <t>Clinician's guide : pharmacology in dental medicine / Jeffrey M. Casiglia, Peter L. Jacobsen.</t>
  </si>
  <si>
    <t>Casiglia, Jeffrey M.</t>
  </si>
  <si>
    <t>Hamilton, Ontario : B. C. Decker, 2008.</t>
  </si>
  <si>
    <t>Clinicians' guides</t>
  </si>
  <si>
    <t>2008-09-10</t>
  </si>
  <si>
    <t>2008-09-08</t>
  </si>
  <si>
    <t>QV 50 C566c 1984</t>
  </si>
  <si>
    <t>0                      QV 0050000C  566c        1984</t>
  </si>
  <si>
    <t>Clinical pharmacology for dental professionals / Sebastian G. Ciancio, Priscilla C. Bourgault.</t>
  </si>
  <si>
    <t>Ciancio, Sebastian G., 1937-</t>
  </si>
  <si>
    <t>Littleton, Mass. : PSG Pub. Co., c1984.</t>
  </si>
  <si>
    <t>1995-12-07</t>
  </si>
  <si>
    <t>QV 50 C641 1988</t>
  </si>
  <si>
    <t>0                      QV 0050000C  641         1988</t>
  </si>
  <si>
    <t>Clinical pharmacology in dental practice / [edited by] Sam V. Holroyd, Richard L. Wynn, Barbara Requa-Clark.</t>
  </si>
  <si>
    <t>1995-09-07</t>
  </si>
  <si>
    <t>1988-02-17</t>
  </si>
  <si>
    <t>QV50 M71835 1996</t>
  </si>
  <si>
    <t>0                      QV 0050000M  71835       1996</t>
  </si>
  <si>
    <t>Molecular diagnosis of genetic diseases / edited by Rob Elles.</t>
  </si>
  <si>
    <t>Totowa, N.J. : Humana Press, c1996.</t>
  </si>
  <si>
    <t>Methods in molecular medicine</t>
  </si>
  <si>
    <t>2001-04-07</t>
  </si>
  <si>
    <t>1997-02-14</t>
  </si>
  <si>
    <t>QV 50 N397p 1985</t>
  </si>
  <si>
    <t>0                      QV 0050000N  397p        1985</t>
  </si>
  <si>
    <t>Pharmacology and therapeutics for dentistry / Enid A. Neidle, Donald C. Kroeger, John A. Yagiela.</t>
  </si>
  <si>
    <t>Neidle, Enid Anne.</t>
  </si>
  <si>
    <t>2002-09-08</t>
  </si>
  <si>
    <t>QV 50 N397p 1989</t>
  </si>
  <si>
    <t>0                      QV 0050000N  397p        1989</t>
  </si>
  <si>
    <t>Pharmacology and therapeutics for dentistry / Enid A. Neidle, John A. Yagiela.</t>
  </si>
  <si>
    <t>2006-02-28</t>
  </si>
  <si>
    <t>QV 50 N397p 1998</t>
  </si>
  <si>
    <t>0                      QV 0050000N  397p        1998</t>
  </si>
  <si>
    <t>Pharmacology and therapeutics for dentistry / [edited by] John A. Yagiela, Enid A. Neidle, Frank J. Dowd.</t>
  </si>
  <si>
    <t>2010-03-16</t>
  </si>
  <si>
    <t>QV 50 O48s 1991</t>
  </si>
  <si>
    <t>0                      QV 0050000O  48s         1991</t>
  </si>
  <si>
    <t>Studies on the kinetics of fluoride in human saliva and its effects on plaque acidogenicity / by Anette Oliveby.</t>
  </si>
  <si>
    <t>Oliveby, Anette.</t>
  </si>
  <si>
    <t>Stockholm : Kongl. Carolinska Medico Chirurgiska Institutet, 1991.</t>
  </si>
  <si>
    <t xml:space="preserve">sw </t>
  </si>
  <si>
    <t>1991-07-01</t>
  </si>
  <si>
    <t>QV 50 P164c 1973</t>
  </si>
  <si>
    <t>0                      QV 0050000P  164c        1973</t>
  </si>
  <si>
    <t>Clinical drug therapy in dental practice / Thomas J. Pallasch.</t>
  </si>
  <si>
    <t>Pallasch, Thomas J.</t>
  </si>
  <si>
    <t>Philadelphia : Lea &amp; Febiger, 1973.</t>
  </si>
  <si>
    <t>2002-10-21</t>
  </si>
  <si>
    <t>QV 50 P164p 1980</t>
  </si>
  <si>
    <t>0                      QV 0050000P  164p        1980</t>
  </si>
  <si>
    <t>Pharmacology for dental students and practitioners / Thomas J. Pallasch.</t>
  </si>
  <si>
    <t>Philadelphia : Lea &amp; Febiger, 1980.</t>
  </si>
  <si>
    <t>1992-09-25</t>
  </si>
  <si>
    <t>QV 50 P164s 1974</t>
  </si>
  <si>
    <t>0                      QV 0050000P  164s        1974</t>
  </si>
  <si>
    <t>Synopsis of pharmacology for students in dentistry / Thomas J. Pallasch and Richard M. Oksas.</t>
  </si>
  <si>
    <t>-- Philadelphia : Lea &amp; Febiger, 1974.</t>
  </si>
  <si>
    <t>1988-01-19</t>
  </si>
  <si>
    <t>QV 50 S521d 1999</t>
  </si>
  <si>
    <t>0                      QV 0050000S  521d        1999</t>
  </si>
  <si>
    <t>Pharmacology and dental therapeutics / Robin A. Seymour, John G. Meechan, and Michael S. Yates.</t>
  </si>
  <si>
    <t>Seymour, R. A.</t>
  </si>
  <si>
    <t>Oxford ; New York : Oxford University Press, 1999.</t>
  </si>
  <si>
    <t>2008-09-20</t>
  </si>
  <si>
    <t>2002-05-10</t>
  </si>
  <si>
    <t>QV 50 S797c 1984</t>
  </si>
  <si>
    <t>0                      QV 0050000S  797c        1984</t>
  </si>
  <si>
    <t>Clinical uses of fluorides / a State of the Art Conference on the Uses of Fluorides in Clinical Dentistry ; edited by Stephen H.Y. Wei.</t>
  </si>
  <si>
    <t>State of the Art Conference on the Uses of Fluorides in Clinical Dentistry (1984 : San Francisco, Calif.)</t>
  </si>
  <si>
    <t>1989-03-01</t>
  </si>
  <si>
    <t>QV 50 W239t 1994</t>
  </si>
  <si>
    <t>0                      QV 0050000W  239t        1994</t>
  </si>
  <si>
    <t>Textbook of dental pharmacology and therapeutics / J.G. Walton, John W. Thompson, and Robin A. Seymour.</t>
  </si>
  <si>
    <t>Walton, J. G.</t>
  </si>
  <si>
    <t>Oxford ; New York : Oxford University Press, c1994.</t>
  </si>
  <si>
    <t>2002-01-10</t>
  </si>
  <si>
    <t>1995-04-21</t>
  </si>
  <si>
    <t>QV55 A161c 2007</t>
  </si>
  <si>
    <t>0                      QV 0055000A  161c        2007</t>
  </si>
  <si>
    <t>Clinical drug therapy : rationales for nursing practice / Anne Collins Abrams, Carol Barnett Lammon, Sandra Smith Pennington ; consultant, Tracey L. Goldsmith.</t>
  </si>
  <si>
    <t>Abrams, Anne Collins.</t>
  </si>
  <si>
    <t>Philadelphia : Lippincott Williams &amp; Wilkins, c2007.</t>
  </si>
  <si>
    <t>2006-04-05</t>
  </si>
  <si>
    <t>QV 55 D575h 1993</t>
  </si>
  <si>
    <t>0                      QV 0055000D  575h        1993</t>
  </si>
  <si>
    <t>West Chester, PA : Medical Surveillance Inc., c1993.</t>
  </si>
  <si>
    <t>QV 55 D7945 1982</t>
  </si>
  <si>
    <t>0                      QV 0055000D  7945        1982</t>
  </si>
  <si>
    <t>Drugs.</t>
  </si>
  <si>
    <t>Springhouse, Pa. : Intermed Communications, amended reprint, 1983, c1982.</t>
  </si>
  <si>
    <t>The Nurse's reference library</t>
  </si>
  <si>
    <t>1989-11-29</t>
  </si>
  <si>
    <t>QV 55 F184 1982</t>
  </si>
  <si>
    <t>0                      QV 0055000F  184         1982</t>
  </si>
  <si>
    <t>Falconer's The drug, the nurse, the patient.</t>
  </si>
  <si>
    <t>Philadelphia : Saunders, c1982.</t>
  </si>
  <si>
    <t>7th ed. / Eleanor Sheridan, H. Robert Patterson, Edward A. Gustafson.</t>
  </si>
  <si>
    <t>1994-08-24</t>
  </si>
  <si>
    <t>QV 55 H2365 1993</t>
  </si>
  <si>
    <t>0                      QV 0055000H  2365        1993</t>
  </si>
  <si>
    <t>Handbook of commonly prescribed geriatric drugs / G. John DiGregorio, Edward J. Barbieri, Michael C. Kennedy, Andrew P. Ferko.</t>
  </si>
  <si>
    <t>QV 55 H2464 1983</t>
  </si>
  <si>
    <t>0                      QV 0055000H  2464        1983</t>
  </si>
  <si>
    <t>Handbook of clinical drug data / editors, James E. Knoben, Philip O. Anderson ; assistant editor, Larry J. Davis ; contributing editors, William D. Ball, William G. Troutman.</t>
  </si>
  <si>
    <t>Hamilton, Ill. : Drug Intelligence Publications, c1983.</t>
  </si>
  <si>
    <t>1999-08-30</t>
  </si>
  <si>
    <t>QV 55 H2466 2003</t>
  </si>
  <si>
    <t>0                      QV 0055000H  2466        2003</t>
  </si>
  <si>
    <t>Handbook of pharmaceutical biotechnology / Jay P. Rho, Stan G. Louie, editors.</t>
  </si>
  <si>
    <t>New York : Pharmaceutical Products Press, c2003.</t>
  </si>
  <si>
    <t>2009-05-22</t>
  </si>
  <si>
    <t>2009-05-21</t>
  </si>
  <si>
    <t>QV 55 I606 1987p</t>
  </si>
  <si>
    <t>0                      QV 0055000I  606         1987p</t>
  </si>
  <si>
    <t>Polymers in medicine III : proceedings of the Third International Conference on Polymers in Medicine, Porto Cervo, Italy, June 9-13, 1987 / edited by Claudio Migliaresi ... [et al.].</t>
  </si>
  <si>
    <t>International Conference on Polymers in Medicine (3rd : 1987 : Porto Cervo, Italy)</t>
  </si>
  <si>
    <t>New York, NY : Elsevier Science Publishers, c1988.</t>
  </si>
  <si>
    <t>Progress in biomedical engineering ; 5</t>
  </si>
  <si>
    <t>1989-08-11</t>
  </si>
  <si>
    <t>1988-12-23</t>
  </si>
  <si>
    <t>QV 55 K72h 1978</t>
  </si>
  <si>
    <t>0                      QV 0055000K  72h         1978</t>
  </si>
  <si>
    <t>Handbook of clinical drug data / by James E. Knoben, Philip O. Anderson, Arthur S. Watanabe.</t>
  </si>
  <si>
    <t>Knoben, James E.</t>
  </si>
  <si>
    <t>Hamilton, Ill. : Drug Intelligence Publication, 1978.</t>
  </si>
  <si>
    <t>1988-05-09</t>
  </si>
  <si>
    <t>QV 55 M689 1979</t>
  </si>
  <si>
    <t>0                      QV 0055000M  689         1979</t>
  </si>
  <si>
    <t>Modern pharmaceutics / [edited by] Gilbert S. Banker, Christopher T. Rhodes.</t>
  </si>
  <si>
    <t>New York : M. Dekker, c1979.</t>
  </si>
  <si>
    <t>Drugs and the pharmaceutical sciences ; v. 7</t>
  </si>
  <si>
    <t>2005-05-27</t>
  </si>
  <si>
    <t>QV 55 S958s 1963</t>
  </si>
  <si>
    <t>0                      QV 0055000S  958s        1963</t>
  </si>
  <si>
    <t>Spectrophotometric analysis of drugs : including atlas of spectra / by Irving Sunshine and S. R. Gerber.</t>
  </si>
  <si>
    <t>Sunshine, Irving.</t>
  </si>
  <si>
    <t>Springfield, Ill. : Thomas, 1963.</t>
  </si>
  <si>
    <t>QV 60 P5361 1992</t>
  </si>
  <si>
    <t>0                      QV 0060000P  5361        1992</t>
  </si>
  <si>
    <t>Pharmacology of the skin / Hasan Mukhtar, editor.</t>
  </si>
  <si>
    <t>Pharmacology &amp; toxicology</t>
  </si>
  <si>
    <t>1993-03-25</t>
  </si>
  <si>
    <t>1992-05-07</t>
  </si>
  <si>
    <t>QV 69 S989 1980a</t>
  </si>
  <si>
    <t>0                      QV 0069000S  989         1980a</t>
  </si>
  <si>
    <t>Antacids in the eighties : Symposium on Antacids, Hamburg, June 1980 : in the course of XI. International Congress of Gastroenterology, IV. European Congress of Digestive Endoscopy / edited by F. Halter.</t>
  </si>
  <si>
    <t>Symposium on Antacids (1980 : Hamburg, Germany)</t>
  </si>
  <si>
    <t>München ; Baltimore : Urban &amp; Schwarzenberg, 1982, c1981.</t>
  </si>
  <si>
    <t>1995-03-27</t>
  </si>
  <si>
    <t>1988-02-08</t>
  </si>
  <si>
    <t>QV 76.5 B881c 1998</t>
  </si>
  <si>
    <t>0                      QV 0076500B  881c        1998</t>
  </si>
  <si>
    <t>Psychiatric side effects of prescription and over-the-counter medications : recognition and management / by Thomas Markham Brown, Alan Stoudemire.</t>
  </si>
  <si>
    <t>Brown, Thomas Markham.</t>
  </si>
  <si>
    <t>Washington, DC : American Psychiatric Press, 1998.</t>
  </si>
  <si>
    <t>2000-06-28</t>
  </si>
  <si>
    <t>QV 76.5 D794 1986</t>
  </si>
  <si>
    <t>0                      QV 0076500D  794         1986</t>
  </si>
  <si>
    <t>Drug dependence and emotional behavior : neurophysiological and neurochemical approaches / edited by A.V. Valdman and Yu. V. Burov ; translated by L.R. Sandler ; translation edited by M. Sandler.</t>
  </si>
  <si>
    <t>New York : Consultants Bureau, c1986.</t>
  </si>
  <si>
    <t>2006-04-17</t>
  </si>
  <si>
    <t>QV76.5 M612p 2005</t>
  </si>
  <si>
    <t>0                      QV 0076500M  612p        2005</t>
  </si>
  <si>
    <t>Psychopharmacology : drugs, the brain, and behavior / Jerrold S. Meyer, Linda F. Quenzer.</t>
  </si>
  <si>
    <t>Meyer, Jerrold S., 1947-</t>
  </si>
  <si>
    <t>Sunderland, Mass. : Sinauer Associates,Publishers c2005.</t>
  </si>
  <si>
    <t>2008-04-02</t>
  </si>
  <si>
    <t>2005-11-04</t>
  </si>
  <si>
    <t>QV 76.5 R988m 1979</t>
  </si>
  <si>
    <t>0                      QV 0076500R  988m        1979</t>
  </si>
  <si>
    <t>Mechanisms of drug action on the nervous system / Ronald W. Ryall.</t>
  </si>
  <si>
    <t>Ryall, Ronald W.</t>
  </si>
  <si>
    <t>Cambridge ; New York : Cambridge University Press, 1979.</t>
  </si>
  <si>
    <t>Cambridge texts in physiological sciences ; 1</t>
  </si>
  <si>
    <t>1995-04-10</t>
  </si>
  <si>
    <t>QV 76.5 T355 1992</t>
  </si>
  <si>
    <t>0                      QV 0076500T  355         1992</t>
  </si>
  <si>
    <t>Textbook of clinical neuropharmacology and therapeutics / editors, Harold L. Klawans, Christopher G. Goetz, Caroline M. Tanner.</t>
  </si>
  <si>
    <t>New York : Raven Press, c1992.</t>
  </si>
  <si>
    <t>1996-05-10</t>
  </si>
  <si>
    <t>1992-02-04</t>
  </si>
  <si>
    <t>QV 77 A512pa 1974</t>
  </si>
  <si>
    <t>0                      QV 0077000A  512pa       1974</t>
  </si>
  <si>
    <t>Pharmacokinetics of psychoactive drugs : blood levels and clinical response / edited by Louis A. Gottschalk and Sidney Merlis.</t>
  </si>
  <si>
    <t>American College of Neuropsychopharmacology.</t>
  </si>
  <si>
    <t>-- New York : Spectrum Publications : distributed by Halsted Press, c1976.</t>
  </si>
  <si>
    <t>1995-06-18</t>
  </si>
  <si>
    <t>QV 77 B615 1991</t>
  </si>
  <si>
    <t>0                      QV 0077000B  615         1991</t>
  </si>
  <si>
    <t>The Biological basis of drug tolerance and dependence / Edited by Judith Pratt.</t>
  </si>
  <si>
    <t>London ; San Diego : Academic Press London, c1991.</t>
  </si>
  <si>
    <t>Neuroscience perspectives ; 3</t>
  </si>
  <si>
    <t>QV 77 B833p 1983</t>
  </si>
  <si>
    <t>0                      QV 0077000B  833p        1983</t>
  </si>
  <si>
    <t>Psychiatric drugs : hazards to the brain / Peter R. Breggin.</t>
  </si>
  <si>
    <t>Breggin, Peter Roger, 1936-</t>
  </si>
  <si>
    <t>New York : Springer, c1983.</t>
  </si>
  <si>
    <t>1994-02-15</t>
  </si>
  <si>
    <t>QV 77 C777b 1991</t>
  </si>
  <si>
    <t>0                      QV 0077000C  777b        1991</t>
  </si>
  <si>
    <t>The biochemical basis of neuropharmacology / Jack R. Cooper, Floyd E. Bloom, Robert H. Roth.</t>
  </si>
  <si>
    <t>Cooper, Jack R., 1924-</t>
  </si>
  <si>
    <t>New York : Oxford University Press, c1991.</t>
  </si>
  <si>
    <t>1996-05-02</t>
  </si>
  <si>
    <t>1991-11-22</t>
  </si>
  <si>
    <t>QV 77 D488f 1990</t>
  </si>
  <si>
    <t>0                      QV 0077000D  488f        1990</t>
  </si>
  <si>
    <t>Fundamentals of monitoring psychoactive drug therapy / C. Lindsay DeVane.</t>
  </si>
  <si>
    <t>DeVane, C. Lindsay.</t>
  </si>
  <si>
    <t>Baltimore : Williams &amp; Wilkins, c1990.</t>
  </si>
  <si>
    <t>1998-10-26</t>
  </si>
  <si>
    <t>QV 77 D793 1985</t>
  </si>
  <si>
    <t>0                      QV 0077000D  793         1985</t>
  </si>
  <si>
    <t>Drugs in central nervous system disorders / edited by David C. Horwell.</t>
  </si>
  <si>
    <t>New York : Dekker, c1985.</t>
  </si>
  <si>
    <t>Clinical pharmacology ; v. 2</t>
  </si>
  <si>
    <t>1995-06-21</t>
  </si>
  <si>
    <t>QV 77 E84 1967a</t>
  </si>
  <si>
    <t>0                      QV 0077000E  84          1967a</t>
  </si>
  <si>
    <t>Ethnopharmacologic search for psychoactive drugs / Daniel H. Efron, editor-in-chief, Bo Holmstedt, co-editor, Nathan S. Kline, co-editor.</t>
  </si>
  <si>
    <t>New York : Raven Press, 1979.</t>
  </si>
  <si>
    <t>QV 77 H744ca 1990</t>
  </si>
  <si>
    <t>0                      QV 0077000H  744ca       1990</t>
  </si>
  <si>
    <t>Clinical pharmacology of psychotherapeutic drugs / Leo E. Hollister, John G. Csernansky.</t>
  </si>
  <si>
    <t>1995-08-22</t>
  </si>
  <si>
    <t>QV 77 J94p 1992</t>
  </si>
  <si>
    <t>0                      QV 0077000J  94p         1992</t>
  </si>
  <si>
    <t>A primer of drug action : a concise, nontechnical guide to the actions, uses, and side effects of psychoactive drugs / Robert M. Julien.</t>
  </si>
  <si>
    <t>New York : W.H. Freeman, c1992.</t>
  </si>
  <si>
    <t>QV 77 K29p 1993</t>
  </si>
  <si>
    <t>0                      QV 0077000K  29p         1993</t>
  </si>
  <si>
    <t>Psychotropic drugs / Norman L. Keltner, David G. Folks.</t>
  </si>
  <si>
    <t>Keltner, Norman L.</t>
  </si>
  <si>
    <t>St. Louis : Mosby, c1993.</t>
  </si>
  <si>
    <t>1994-09-07</t>
  </si>
  <si>
    <t>QV 77 L154i 1983</t>
  </si>
  <si>
    <t>0                      QV 0077000L  154i        1983</t>
  </si>
  <si>
    <t>Introduction to psychopharmacology / Malcolm Lader.</t>
  </si>
  <si>
    <t>Lader, Malcolm Harold.</t>
  </si>
  <si>
    <t>Kalamazoo, Mich. : Upjohn, c1983.</t>
  </si>
  <si>
    <t>miu</t>
  </si>
  <si>
    <t>A SCOPE publication</t>
  </si>
  <si>
    <t>1990-11-05</t>
  </si>
  <si>
    <t>QV 77 L439d 1982</t>
  </si>
  <si>
    <t>0                      QV 0077000L  439d        1982</t>
  </si>
  <si>
    <t>2005-10-03</t>
  </si>
  <si>
    <t>QV 77 M687o 1989</t>
  </si>
  <si>
    <t>0                      QV 0077000M  687o        1989</t>
  </si>
  <si>
    <t>The over-50 guide to psychiatric medications / Gary S. Moak, Elliot M. Stein, Joseph E. V. Rubin.</t>
  </si>
  <si>
    <t>Moak, Gary S.</t>
  </si>
  <si>
    <t>1989-12-08</t>
  </si>
  <si>
    <t>1989-10-20</t>
  </si>
  <si>
    <t>QV77 N4968 2002</t>
  </si>
  <si>
    <t>0                      QV 0077000N  4968        2002</t>
  </si>
  <si>
    <t>Neuropsychopharmacology : the fifth generation of progress : an official publication of the American College of Neuropsychopharmacology / editors, Kenneth L. Davis ... [et al.].</t>
  </si>
  <si>
    <t>Philadelphia : Lippincott/Williams &amp; Wilkins, 2002.</t>
  </si>
  <si>
    <t>2006-11-14</t>
  </si>
  <si>
    <t>2006-10-06</t>
  </si>
  <si>
    <t>QV 77 P464p 1991</t>
  </si>
  <si>
    <t>0                      QV 0077000P  464p        1991</t>
  </si>
  <si>
    <t>Cincinnati : H. Whitney Books, c1991.</t>
  </si>
  <si>
    <t>1994-11-17</t>
  </si>
  <si>
    <t>1992-01-10</t>
  </si>
  <si>
    <t>QV 77 P671p 1992</t>
  </si>
  <si>
    <t>0                      QV 0077000P  671p        1992</t>
  </si>
  <si>
    <t>Clinical primer of psychopharmacology : a practical guide / Donald M. Pirodsky, Jerry S. Cohn.</t>
  </si>
  <si>
    <t>Pirodsky, Donald M.</t>
  </si>
  <si>
    <t>New York : McGraw-Hill, Health Professions Division, c1992.</t>
  </si>
  <si>
    <t>1996-09-05</t>
  </si>
  <si>
    <t>1992-12-10</t>
  </si>
  <si>
    <t>QV 77 P768p 1986</t>
  </si>
  <si>
    <t>0                      QV 0077000P  768p        1986</t>
  </si>
  <si>
    <t>A primer of human behavioral pharmacology / Alan Poling.</t>
  </si>
  <si>
    <t>Poling, Alan D.</t>
  </si>
  <si>
    <t>New York : Plenum Press, c1986.</t>
  </si>
  <si>
    <t>Applied clinical psychology</t>
  </si>
  <si>
    <t>1996-05-01</t>
  </si>
  <si>
    <t>QV 77 P959 1978</t>
  </si>
  <si>
    <t>0                      QV 0077000P  959         1978</t>
  </si>
  <si>
    <t>Principles of psychopharmacology / editors, William G. Clark, Joseph del Giudice ; contributors, Gary C. Aden ... [et al.].</t>
  </si>
  <si>
    <t>New York : Academic Press, 1978.</t>
  </si>
  <si>
    <t>1996-11-18</t>
  </si>
  <si>
    <t>QV 77 P972105 1996</t>
  </si>
  <si>
    <t>0                      QV 0077000P  972105      1996</t>
  </si>
  <si>
    <t>Psychopharmacology and women : sex, gender, and hormones / edited by Margaret F. Jensvold, Uriel Halbreich, Jean A. Hamilton.</t>
  </si>
  <si>
    <t>Washington, DC : American Psychiatric Press, c1996.</t>
  </si>
  <si>
    <t>1997-03-06</t>
  </si>
  <si>
    <t>QV 77 P9733 1987</t>
  </si>
  <si>
    <t>0                      QV 0077000P  9733        1987</t>
  </si>
  <si>
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</si>
  <si>
    <t>1991-04-04</t>
  </si>
  <si>
    <t>1988-02-12</t>
  </si>
  <si>
    <t>QV 77 R264d 1990</t>
  </si>
  <si>
    <t>0                      QV 0077000R  264d        1990</t>
  </si>
  <si>
    <t>Drugs, society &amp; human behavior / Oakley Ray, Charles Ksir.</t>
  </si>
  <si>
    <t>Ray, Oakley Stern.</t>
  </si>
  <si>
    <t>St. Louis : Times Mirror/Mosby College Pub., c1990.</t>
  </si>
  <si>
    <t>2005-08-10</t>
  </si>
  <si>
    <t>1990-01-19</t>
  </si>
  <si>
    <t>QV 77 S312m 1997</t>
  </si>
  <si>
    <t>0                      QV 0077000S  312m        1997</t>
  </si>
  <si>
    <t>Manual of clinical psychopharmacology / Alan F. Schatzberg, Jonathan O. Cole, Charles DeBattista.</t>
  </si>
  <si>
    <t>Schatzberg, Alan F.</t>
  </si>
  <si>
    <t>2004-04-19</t>
  </si>
  <si>
    <t>1998-02-23</t>
  </si>
  <si>
    <t>QV77 S312m 2003</t>
  </si>
  <si>
    <t>0                      QV 0077000S  312m        2003</t>
  </si>
  <si>
    <t>Washington, D.C. : American Psychiatric Pub., c2003.</t>
  </si>
  <si>
    <t>2004-07-25</t>
  </si>
  <si>
    <t>2004-04-01</t>
  </si>
  <si>
    <t>QV77 S312m 2005</t>
  </si>
  <si>
    <t>0                      QV 0077000S  312m        2005</t>
  </si>
  <si>
    <t>Washington, DC : American Psychiatric Pub., c2005.</t>
  </si>
  <si>
    <t>2007-04-04</t>
  </si>
  <si>
    <t>2006-02-09</t>
  </si>
  <si>
    <t>QV 77 S979d 1983</t>
  </si>
  <si>
    <t>0                      QV 0077000S  979d        1983</t>
  </si>
  <si>
    <t>Drugs and therapy : a handbook of psychotropic drugs / Alvin K. Swonger, Larry L. Constantine.</t>
  </si>
  <si>
    <t>Boston : Little, Brown, c1983.</t>
  </si>
  <si>
    <t>1987-08-20</t>
  </si>
  <si>
    <t>QV 77 S987c 1973</t>
  </si>
  <si>
    <t>0                      QV 0077000S  987c        1973</t>
  </si>
  <si>
    <t>Clinical pharmacology of psychoactive drugs / edited by E.M. Sellers ; general editor, S.L. Lambert.</t>
  </si>
  <si>
    <t>Toronto : Alcoholism and Drug Addiction Research Foundation : [distributed by Marketing Services, Addiction Research Foundation], 1975.</t>
  </si>
  <si>
    <t>1989-11-22</t>
  </si>
  <si>
    <t>QV 77 W585p 1977</t>
  </si>
  <si>
    <t>0                      QV 0077000W  585p        1977</t>
  </si>
  <si>
    <t>Pediatric psychopharmacology : a practical guide to clinical application / James H. White.</t>
  </si>
  <si>
    <t>White, James Harrison, 1943-</t>
  </si>
  <si>
    <t>Baltimore : Williams &amp; Wilkins Co., c1977.</t>
  </si>
  <si>
    <t>2002-04-25</t>
  </si>
  <si>
    <t>QV 77.2 A512 1998</t>
  </si>
  <si>
    <t>0                      QV 0077200A  512         1998</t>
  </si>
  <si>
    <t>The American Psychiatric Press textbook of psychopharmacology / edited by Alan F. Schatzberg and Charles B. Nemeroff.</t>
  </si>
  <si>
    <t>Washington, DC. : American Psychiatric Press, c1998.</t>
  </si>
  <si>
    <t>2006-03-15</t>
  </si>
  <si>
    <t>2000-02-10</t>
  </si>
  <si>
    <t>QV77.2 A512 2004</t>
  </si>
  <si>
    <t>0                      QV 0077200A  512         2004</t>
  </si>
  <si>
    <t>The American Psychiatric Publishing textbook of psychopharmacology / edited by Alan F. Schatzberg, Charles B. Nemeroff.</t>
  </si>
  <si>
    <t>Washington, DC : American Psychiatric Pub., c2004.</t>
  </si>
  <si>
    <t>2007-02-21</t>
  </si>
  <si>
    <t>2005-11-21</t>
  </si>
  <si>
    <t>QV77.2 C641 2002</t>
  </si>
  <si>
    <t>0                      QV 0077200C  641         2002</t>
  </si>
  <si>
    <t>Clinical handbook of psychotropic drugs / Kalyna Z. Bezchlibnyk-Butler, principal editor ; J. Joel Jeffries, co-editor.</t>
  </si>
  <si>
    <t>Seattle : Hogrefe &amp; Huber Publishers, c2002.</t>
  </si>
  <si>
    <t>12th rev. ed.</t>
  </si>
  <si>
    <t>2003-03-26</t>
  </si>
  <si>
    <t>QV 77.2 I35u 1997</t>
  </si>
  <si>
    <t>0                      QV 0077200I  35u         1997</t>
  </si>
  <si>
    <t>Uppers, downers, all arounders : physical and mental effects of psychoactive drugs / Darryl S. Inaba, William E. Cohen, Michael E. Holstein.</t>
  </si>
  <si>
    <t>Inaba, Darryl.</t>
  </si>
  <si>
    <t>Ashland, Or. : CNS Publications, c1997.</t>
  </si>
  <si>
    <t>oru</t>
  </si>
  <si>
    <t>2004-08-26</t>
  </si>
  <si>
    <t>1999-10-28</t>
  </si>
  <si>
    <t>QV 77.2 J17c 2007</t>
  </si>
  <si>
    <t>0                      QV 0077200J  17c         2007</t>
  </si>
  <si>
    <t>Clinical manual of geriatric psychopharmacology / Sandra A. Jacobson, Ronald W. Pies, Ira R. Katz.</t>
  </si>
  <si>
    <t>Jacobson, Sandra A., 1953-</t>
  </si>
  <si>
    <t>Washington, DC : American Psychiatric Pub., c2007.</t>
  </si>
  <si>
    <t>2009-03-31</t>
  </si>
  <si>
    <t>2009-02-12</t>
  </si>
  <si>
    <t>QV 77.2 K29p 1997</t>
  </si>
  <si>
    <t>0                      QV 0077200K  29p         1997</t>
  </si>
  <si>
    <t>St. Louis : Mosby, c1997.</t>
  </si>
  <si>
    <t>1997-10-31</t>
  </si>
  <si>
    <t>QV 77.2 T375h 1995</t>
  </si>
  <si>
    <t>0                      QV 0077200T  375h        1995</t>
  </si>
  <si>
    <t>The handbook of psychiatric drug therapy for children and adolescents / Karen A. Theesen.</t>
  </si>
  <si>
    <t>Theesen, Karen A.</t>
  </si>
  <si>
    <t>New York : Pharmaceutical Products Press, c1995.</t>
  </si>
  <si>
    <t>1997-06-08</t>
  </si>
  <si>
    <t>1997-01-20</t>
  </si>
  <si>
    <t>QV 77.7 C22475 2002</t>
  </si>
  <si>
    <t>0                      QV 0077700C  22475       2002</t>
  </si>
  <si>
    <t>Cannabis and cannabinoids : pharmacology, toxicology, and therapeutic potential / Franjo Grotenhermen, Ethan Russo, editors.</t>
  </si>
  <si>
    <t>New York : Haworth Integrative Healing Press, c2002.</t>
  </si>
  <si>
    <t>2010-05-03</t>
  </si>
  <si>
    <t>2004-09-16</t>
  </si>
  <si>
    <t>QV 77.7 C609 1959</t>
  </si>
  <si>
    <t>0                      QV 0077700C  609         1959</t>
  </si>
  <si>
    <t>The use of LSD in psychotherapy : transactions / Edited by Harold A. Abramson.</t>
  </si>
  <si>
    <t>Conference on d-Lysergic Acid Diethylamide (LSD-25) (1959 : Princeton, N.J.)</t>
  </si>
  <si>
    <t>New York : Josiah Macy, Jr. Foundation, 1960.</t>
  </si>
  <si>
    <t>2007-11-15</t>
  </si>
  <si>
    <t>1988-03-17</t>
  </si>
  <si>
    <t>QV 77.7 H193 1984</t>
  </si>
  <si>
    <t>0                      QV 0077700H  193         1984</t>
  </si>
  <si>
    <t>Hallucinogens--neurochemical, behavioral, and clinical perspectives / volume editor, Barry L. Jacobs.</t>
  </si>
  <si>
    <t>New York : Raven, c1984.</t>
  </si>
  <si>
    <t>Central nervous system pharmacology</t>
  </si>
  <si>
    <t>1996-09-20</t>
  </si>
  <si>
    <t>QV 77.7 N153m 1984</t>
  </si>
  <si>
    <t>0                      QV 0077700N  153m        1984</t>
  </si>
  <si>
    <t>Marihuana in science and medicine / Gabriel G. Nahas, with contributions by David J. Harvey, Michel Paris, Henry Brill.</t>
  </si>
  <si>
    <t>Nahas, Gabriel G., 1920-2012.</t>
  </si>
  <si>
    <t>New York : Raven Press, c1984.</t>
  </si>
  <si>
    <t>QV 77.9 A633 1985</t>
  </si>
  <si>
    <t>0                      QV 0077900A  633         1985</t>
  </si>
  <si>
    <t>Antipsychotics / edited by Graham D. Burrows, Trevor R. Norman, and Brian Davies.</t>
  </si>
  <si>
    <t>Amsterdam ; New York : Elsevier ; New York, NY, USA : Sole distributors for the U.S.A. and Canada, Elsevier Science Pub. Co., c1985.</t>
  </si>
  <si>
    <t>Drugs in psychiatry ; v. 3</t>
  </si>
  <si>
    <t>1989-11-05</t>
  </si>
  <si>
    <t>QV 77.9 B4785 1990</t>
  </si>
  <si>
    <t>0                      QV 0077900B  4785        1990</t>
  </si>
  <si>
    <t>Benzodiazepine dependence, toxicity, and abuse : a task force report of the American Psychiatric Association / American Psychiatric Association Task Force on Benzodiazepine Dependence, Toxicity, and Abuse.</t>
  </si>
  <si>
    <t>Washington, DC : American Psychiatric Association, c1990.</t>
  </si>
  <si>
    <t>1997-11-18</t>
  </si>
  <si>
    <t>1990-11-02</t>
  </si>
  <si>
    <t>QV 77.9 L431e 1986</t>
  </si>
  <si>
    <t>0                      QV 0077900L  431e        1986</t>
  </si>
  <si>
    <t>Endocrine and metabolic effects of lithium / John H. Lazarus ; with a chapter by Keith J. Collard.</t>
  </si>
  <si>
    <t>Lazarus, J. H. (John H.)</t>
  </si>
  <si>
    <t>New York : Plenum Medical Book Co., c1986.</t>
  </si>
  <si>
    <t>1995-03-14</t>
  </si>
  <si>
    <t>QV 77.9 M345b 1985</t>
  </si>
  <si>
    <t>0                      QV 0077900M  345b        1985</t>
  </si>
  <si>
    <t>The benzodiazepines : use, overuse, misuse, abuse / by John Marks.</t>
  </si>
  <si>
    <t>Marks, John, 1924-</t>
  </si>
  <si>
    <t>Lancaster, England ; Boston : MTP Press, c1985.</t>
  </si>
  <si>
    <t>QV 77.9 N532 1992</t>
  </si>
  <si>
    <t>0                      QV 0077900N  532         1992</t>
  </si>
  <si>
    <t>New generation of antipsychotic drugs : novel mechanisms of action : workshop, Monte Carlo, March 16-18, 1982 / volume editors, N. Brunello, J. Mendlewicz, G. Racagni.</t>
  </si>
  <si>
    <t>Basel ; New York : Karger, c1993.</t>
  </si>
  <si>
    <t xml:space="preserve">sz </t>
  </si>
  <si>
    <t>International Academy for Biomedical and Drug Research ; vol. 4</t>
  </si>
  <si>
    <t>2002-11-24</t>
  </si>
  <si>
    <t>QV 80 T755 1987</t>
  </si>
  <si>
    <t>0                      QV 0080000T  755         1987</t>
  </si>
  <si>
    <t>Toxicology of CNS depressants / editor, I.K. Ho.</t>
  </si>
  <si>
    <t>Boca Raton, Fla. : CRC Press, 1987.</t>
  </si>
  <si>
    <t>1990-05-14</t>
  </si>
  <si>
    <t>QV81 A5787 2004</t>
  </si>
  <si>
    <t>0                      QV 0081000A  5787        2004</t>
  </si>
  <si>
    <t>Anesthetic pharmacology : physiologic principles and clinical practice : a companion to Miller's Anesthesia / [edited by] Alex S. Evers, Mervyn Maze.</t>
  </si>
  <si>
    <t>New York : Churchill Livingstone, c2004.</t>
  </si>
  <si>
    <t>2006-01-30</t>
  </si>
  <si>
    <t>2006-01-19</t>
  </si>
  <si>
    <t>QV 81 M972a 1991</t>
  </si>
  <si>
    <t>0                      QV 0081000M  972a        1991</t>
  </si>
  <si>
    <t>The anesthetic plan : from physiologic principles to clinical strategies / Stanley Muravchick.</t>
  </si>
  <si>
    <t>Muravchick, Stanley.</t>
  </si>
  <si>
    <t>1998-02-22</t>
  </si>
  <si>
    <t>1992-06-04</t>
  </si>
  <si>
    <t>QV 81 N731 1985</t>
  </si>
  <si>
    <t>0                      QV 0081000N  731         1985</t>
  </si>
  <si>
    <t>Nitrous oxide/NO2 / edited by Edmond I. Eger II.</t>
  </si>
  <si>
    <t>New York : Elsevier, c1985.</t>
  </si>
  <si>
    <t>2009-05-18</t>
  </si>
  <si>
    <t>QV 81 S872p 1999</t>
  </si>
  <si>
    <t>0                      QV 0081000S  872p        1999</t>
  </si>
  <si>
    <t>Pharmacology and physiology in anesthetic practice / Robert K. Stoelting.</t>
  </si>
  <si>
    <t>Philadelphia : Lippincott-Raven, c1999.</t>
  </si>
  <si>
    <t>QV 81 S872p 2006</t>
  </si>
  <si>
    <t>0                      QV 0081000S  872p        2006</t>
  </si>
  <si>
    <t>Pharmacology &amp; physiology in anesthetic practice / [edited by] Robert K. Stoelting, Simon C. Hillier.</t>
  </si>
  <si>
    <t>2007-02-09</t>
  </si>
  <si>
    <t>2007-02-08</t>
  </si>
  <si>
    <t>QV 84 A3546 1985</t>
  </si>
  <si>
    <t>0                      QV 0084000A  3546        1985</t>
  </si>
  <si>
    <t>Alcohol related diseases in gastroenterology / edited by H.K. Seitz and B. Kommerell.</t>
  </si>
  <si>
    <t>Berlin ; New York : Springer-Verlag, c1985.</t>
  </si>
  <si>
    <t>1995-04-22</t>
  </si>
  <si>
    <t>QV 84 A427a 1900</t>
  </si>
  <si>
    <t>0                      QV 0084000A  427a        1900</t>
  </si>
  <si>
    <t>Alcohol, a dangerous and unnecessary medicine : how and why; what medical writers say / by Martha M. Allen.</t>
  </si>
  <si>
    <t>Allen, Martha M. (Martha Meir), 1854-1926.</t>
  </si>
  <si>
    <t>Marcellus, N. Y. : National Woman's Christian Temperance Union c1900.</t>
  </si>
  <si>
    <t>1900</t>
  </si>
  <si>
    <t>1995-04-05</t>
  </si>
  <si>
    <t>QV 84 B616 1979</t>
  </si>
  <si>
    <t>0                      QV 0084000B  616         1979</t>
  </si>
  <si>
    <t>Biochemistry and pharmacology of ethanol / edited by Edward Majchrowicz and Ernest P. Noble.</t>
  </si>
  <si>
    <t>New York : Plenum Press, c1979.</t>
  </si>
  <si>
    <t>QV 84 G624p 1983</t>
  </si>
  <si>
    <t>0                      QV 0084000G  624p        1983</t>
  </si>
  <si>
    <t>Pharmacology of alcohol / Dora B. Goldstein.</t>
  </si>
  <si>
    <t>Goldstein, Dora B.</t>
  </si>
  <si>
    <t>New York : Oxford University Press, c1983.</t>
  </si>
  <si>
    <t>QV 84 M4895 1988</t>
  </si>
  <si>
    <t>0                      QV 0084000M  4895        1988</t>
  </si>
  <si>
    <t>Medicolegal aspects of alcohol determination in biological specimens / edited by James C. Garriott.</t>
  </si>
  <si>
    <t>Littleton, Mass. : PSG Pub. Co., c1988.</t>
  </si>
  <si>
    <t>2008-12-17</t>
  </si>
  <si>
    <t>1989-08-10</t>
  </si>
  <si>
    <t>QV 85 A628 1995</t>
  </si>
  <si>
    <t>0                      QV 0085000A  628         1995</t>
  </si>
  <si>
    <t>Antiepileptic drugs / editors, René H. Levy, Richard H. Mattson, Brian S. Meldrum ; consulting editors, Fritz E. Dreifuss, J. Kiffin Penry ; associate editor, B.J. Hessie.</t>
  </si>
  <si>
    <t>2004-11-07</t>
  </si>
  <si>
    <t>1995-08-25</t>
  </si>
  <si>
    <t>QV 85 A6281 1999</t>
  </si>
  <si>
    <t>0                      QV 0085000A  6281        1999</t>
  </si>
  <si>
    <t>Antiepileptic drugs : pharmacology and therapeutics / contributors, E. Ben-Menachem ... [et al.] ; editors, M.J. Eadie and F.J.E. Vajda.</t>
  </si>
  <si>
    <t>Berlin ; New York : Springer, c1999.</t>
  </si>
  <si>
    <t>Handbook of experimental pharmacology ; v. 138</t>
  </si>
  <si>
    <t>2000-07-20</t>
  </si>
  <si>
    <t>QV 85 S349a 1982</t>
  </si>
  <si>
    <t>0                      QV 0085000S  349a        1982</t>
  </si>
  <si>
    <t>Adverse effects of antiepileptic drugs / Dieter Schmidt ; with the collaboration of Lee Seldon.</t>
  </si>
  <si>
    <t>Schmidt, Dieter.</t>
  </si>
  <si>
    <t>New York : Raven, c1982.</t>
  </si>
  <si>
    <t>1995-11-17</t>
  </si>
  <si>
    <t>QV 85 S643b 1988</t>
  </si>
  <si>
    <t>0                      QV 0085000S  643b        1988</t>
  </si>
  <si>
    <t>The broad range of clinical use of phenytoin : bioelectrical modulator : bibliography and review / Barry H. Smith, Samuel Bogoch, Jack Dreyfus.</t>
  </si>
  <si>
    <t>Smith, Barry H.</t>
  </si>
  <si>
    <t>New York : Dreyfus Medical Foundation, c1988.</t>
  </si>
  <si>
    <t>1995-11-15</t>
  </si>
  <si>
    <t>1988-07-02</t>
  </si>
  <si>
    <t>QV 89 06171 1987</t>
  </si>
  <si>
    <t>0                      QV 0089000                                                           06171 1987</t>
  </si>
  <si>
    <t>Opioid analgesia : recent advances in systemic administration / editors, Costantino Benedetti, C. Richard Chapman, Giampiero Giron.</t>
  </si>
  <si>
    <t>V. 14</t>
  </si>
  <si>
    <t>New York : Raven Press, c1990.</t>
  </si>
  <si>
    <t>Advances in pain research and therapy ; v. 14</t>
  </si>
  <si>
    <t>2008-04-23</t>
  </si>
  <si>
    <t>QV 89 F893o 1987</t>
  </si>
  <si>
    <t>0                      QV 0089000F  893o        1987</t>
  </si>
  <si>
    <t>Opioid agonists, antagonists, and mixed narcotic analgesics : theoretical background and considerations for practical use / Enno Freye.</t>
  </si>
  <si>
    <t>Freye, E. (Enno)</t>
  </si>
  <si>
    <t>Berlin ; New York : Springer, c1987.</t>
  </si>
  <si>
    <t>1987-12-10</t>
  </si>
  <si>
    <t>QV 89 L672p 1931</t>
  </si>
  <si>
    <t>0                      QV 0089000L  672p        1931</t>
  </si>
  <si>
    <t>Phantastica, narcotic and stimulating drugs : their use and abuse / by Louis Lewin.</t>
  </si>
  <si>
    <t>Lewin, Louis.</t>
  </si>
  <si>
    <t>New York : E. P. Dutton &amp; Co, c1931.</t>
  </si>
  <si>
    <t>1931</t>
  </si>
  <si>
    <t>QV 89 O613 1986</t>
  </si>
  <si>
    <t>0                      QV 0089000O  613         1986</t>
  </si>
  <si>
    <t>Opiates / George R. Lenz ... [et al.] ; with a chapter by Donna L. Hammond.</t>
  </si>
  <si>
    <t>Orlando : Academic Press, c1986.</t>
  </si>
  <si>
    <t>QV 89 O6182 1991</t>
  </si>
  <si>
    <t>0                      QV 0089000O  6182        1991</t>
  </si>
  <si>
    <t>Opioids in anesthesia II / edited by Fawzy G. Estafanous ; with 50 contributing authors.</t>
  </si>
  <si>
    <t>Boston : Butterworths, c1991.</t>
  </si>
  <si>
    <t>1991-04-22</t>
  </si>
  <si>
    <t>1991-01-30</t>
  </si>
  <si>
    <t>QV 90 R462m 1957</t>
  </si>
  <si>
    <t>0                      QV 0090000R  462m        1957</t>
  </si>
  <si>
    <t>Morphine &amp; allied drugs / A.K. Reynolds, Lowell O. Randall.</t>
  </si>
  <si>
    <t>Reynolds, A. K. (Albert Keith)</t>
  </si>
  <si>
    <t>Toronto : University of Toronto Press, 1957.</t>
  </si>
  <si>
    <t>1957</t>
  </si>
  <si>
    <t>QV 95 A275 1971</t>
  </si>
  <si>
    <t>0                      QV 0095000A  275         1971</t>
  </si>
  <si>
    <t>Agonist and antagonist actions of narcotic analgesic drugs / Edited by H. W. Kosterlitz, H.O.J. Collier, and J.E. Villarreal.</t>
  </si>
  <si>
    <t>Baltimore : University Park Press, [1973]</t>
  </si>
  <si>
    <t>QV95 A84085 2004</t>
  </si>
  <si>
    <t>0                      QV 0095000A  84085       2004</t>
  </si>
  <si>
    <t>Aspirin and related drugs / [edited by] K.D. Rainsford.</t>
  </si>
  <si>
    <t>London ; New York : Taylor &amp; Francis, 2004.</t>
  </si>
  <si>
    <t>2005-03-04</t>
  </si>
  <si>
    <t>QV95 C555 1998</t>
  </si>
  <si>
    <t>0                      QV 0095000C  555         1998</t>
  </si>
  <si>
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</si>
  <si>
    <t>London : William Harvey Press, 1998.</t>
  </si>
  <si>
    <t>2002-01-15</t>
  </si>
  <si>
    <t>QV 95 D457 1991</t>
  </si>
  <si>
    <t>0                      QV 0095000D  457         1991</t>
  </si>
  <si>
    <t>The Design of analgesic clinical trials / editors, Mitchell B. Max, Russell K. Portenoy, Eugene M. Laska.</t>
  </si>
  <si>
    <t>New York : Raven Press, c1991.</t>
  </si>
  <si>
    <t>Advances in pain research and therapy ; v. 18</t>
  </si>
  <si>
    <t>1999-12-13</t>
  </si>
  <si>
    <t>1991-09-26</t>
  </si>
  <si>
    <t>QV 95 N533 1996</t>
  </si>
  <si>
    <t>0                      QV 0095000N  533         1996</t>
  </si>
  <si>
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</si>
  <si>
    <t>Dordrecht ; Boston : Kluwer Academic Publishers : William Harvey Press, c1996.</t>
  </si>
  <si>
    <t>QV 95 S464 1998</t>
  </si>
  <si>
    <t>0                      QV 0095000S  464         1998</t>
  </si>
  <si>
    <t>Selective COX-2 inhibitors : pharmacology, clinical effects, and therapeutic potential : proceedings of a conference held on March 20-21, 1997, in Cannes, France / edited by Sir John Vane and Jack Botting.</t>
  </si>
  <si>
    <t>Dordrecht ; London : Kluwer Academic, c1998.</t>
  </si>
  <si>
    <t>QV 95 S655s 1966</t>
  </si>
  <si>
    <t>0                      QV 0095000S  655s        1966</t>
  </si>
  <si>
    <t>The salicylates : a critical bibliographic review / M.J. H. Smith and Paul K. Smith.</t>
  </si>
  <si>
    <t>Smith, M. J. H. editor.</t>
  </si>
  <si>
    <t>New York : Interscience Publishers, 1966.</t>
  </si>
  <si>
    <t>1995-03-28</t>
  </si>
  <si>
    <t>QV 109 H193 1970</t>
  </si>
  <si>
    <t>0                      QV 0109000H  193         1970</t>
  </si>
  <si>
    <t>Hallucinogenic drug research: impact on science and society : proceedings of the first annual symposium of the Student Association for the Study of Hallucinogens / edited by James R. Gamage &amp; Edmund L. Zerkin.</t>
  </si>
  <si>
    <t>Beloit, Wis. : STASH Press, 1970.</t>
  </si>
  <si>
    <t>1970</t>
  </si>
  <si>
    <t>QV 109 M648m</t>
  </si>
  <si>
    <t>0                      QV 0109000M  648m</t>
  </si>
  <si>
    <t>Marijuana : effects on human behavior / edited by Loren L. Miller.</t>
  </si>
  <si>
    <t>Miller, Loren L.</t>
  </si>
  <si>
    <t>New York : Academic Press, 1974.</t>
  </si>
  <si>
    <t>QV 109 P975 1970</t>
  </si>
  <si>
    <t>0                      QV 0109000P  975         1970</t>
  </si>
  <si>
    <t>Psychotomimetic drugs : proceedings of a workshop organized by the Pharmacology Section, Psychopharmacology Research Branch, National Institute of Mental Health / Edited by Daniel H. Efron.</t>
  </si>
  <si>
    <t>New York : Raven Press, [1970]</t>
  </si>
  <si>
    <t>National Institute of Mental Health. Workshop series of Pharmacology Section, no. 4</t>
  </si>
  <si>
    <t>QV 110 C873L 1976</t>
  </si>
  <si>
    <t>0                      QV 0110000C  873L        1976</t>
  </si>
  <si>
    <t>Local anesthetics : mechanisms of action and clinical use / Benjamin G. Covino and Helen G. Vassallo.</t>
  </si>
  <si>
    <t>Covino, Benjamin G., 1930-</t>
  </si>
  <si>
    <t>New York : Grune &amp; Stratton, c1976.</t>
  </si>
  <si>
    <t>The Scientific basis of clinical anesthesia</t>
  </si>
  <si>
    <t>1988-12-29</t>
  </si>
  <si>
    <t>QV 110 L811 1987</t>
  </si>
  <si>
    <t>0                      QV 0110000L  811         1987</t>
  </si>
  <si>
    <t>Local anesthetics / contributors, G.R. Arthur ... [et al.] ; editor, G.R. Strichartz.</t>
  </si>
  <si>
    <t>Berlin ; New York : Springer-Verlag, c1987.</t>
  </si>
  <si>
    <t>Handbook of experimental pharmacology ; vol. 81</t>
  </si>
  <si>
    <t>1989-04-28</t>
  </si>
  <si>
    <t>QV 113 A512 1984c</t>
  </si>
  <si>
    <t>0                      QV 0113000A  512         1984c</t>
  </si>
  <si>
    <t>Cocaine : clinical and biobehavioral aspects / edited by Seymour Fisher, Allen Raskin, E.H. Uhlenhuth.</t>
  </si>
  <si>
    <t>American College of Neuropsychopharmacology. Meeting (23rd : 1984 : San Juan, P.R.)</t>
  </si>
  <si>
    <t>New York : Oxford University Press, c1987.</t>
  </si>
  <si>
    <t>1996-11-24</t>
  </si>
  <si>
    <t>QV 113 C65928 1992</t>
  </si>
  <si>
    <t>0                      QV 0113000C  65928       1992</t>
  </si>
  <si>
    <t>Cocaine : pharmacology, physiology, and clinical strategies / edited by Joan M. Lakoski, Matthew P. Galloway, Francis J. White.</t>
  </si>
  <si>
    <t>1992-03-05</t>
  </si>
  <si>
    <t>QV 126 C651 1995</t>
  </si>
  <si>
    <t>0                      QV 0126000C  651         1995</t>
  </si>
  <si>
    <t>CNS neurotransmitters and neuromodulators : glutamate / edited by Trevor W. Stone.</t>
  </si>
  <si>
    <t>2010-04-01</t>
  </si>
  <si>
    <t>1995-08-07</t>
  </si>
  <si>
    <t>QV 126 F297s 1991</t>
  </si>
  <si>
    <t>0                      QV 0126000F  297s        1991</t>
  </si>
  <si>
    <t>Selective serotonin re-uptake inhibitors : the clinical use of citalopram, fluoxetine, fluvoxamine, paroxetine, and sertraline / J.P. Feighner and W.F. Boyer.</t>
  </si>
  <si>
    <t>Feighner, John Preston, 1937-</t>
  </si>
  <si>
    <t>Chichester ; New York : Wiley, c1991.</t>
  </si>
  <si>
    <t>Perspectives in psychiatry ; v. 1.</t>
  </si>
  <si>
    <t>2007-06-12</t>
  </si>
  <si>
    <t>QV 126 N493 1985</t>
  </si>
  <si>
    <t>0                      QV 0126000N  493         1985</t>
  </si>
  <si>
    <t>Neuropharmacology of serotonin / edited by A. Richard Green.</t>
  </si>
  <si>
    <t>Oxford ; New York : Oxford University Press, c1985.</t>
  </si>
  <si>
    <t>2000-01-13</t>
  </si>
  <si>
    <t>QV 126 N494 1985</t>
  </si>
  <si>
    <t>0                      QV 0126000N  494         1985</t>
  </si>
  <si>
    <t>Neurotransmitter receptor binding / editors, Henry I. Yamamura, S.J. Enna, Michael J. Kuhar.</t>
  </si>
  <si>
    <t>New York : Raven Press, c1985.</t>
  </si>
  <si>
    <t>2000-01-31</t>
  </si>
  <si>
    <t>QV 126 S487 1981</t>
  </si>
  <si>
    <t>0                      QV 0126000S  487         1981</t>
  </si>
  <si>
    <t>Serotonin neurotransmission and behavior / [edited by] Barry L. Jacobs and Alan Gelperin.</t>
  </si>
  <si>
    <t>Cambridge, Mass. : MIT Press, c1981.</t>
  </si>
  <si>
    <t>QV 129 L337p 1988</t>
  </si>
  <si>
    <t>0                      QV 0129000L  337p        1988</t>
  </si>
  <si>
    <t>Phenylpropanolamine--a review / Louis Lasagna.</t>
  </si>
  <si>
    <t>Lasagna, Louis, 1923-2003.</t>
  </si>
  <si>
    <t>New York : Wiley, c1988.</t>
  </si>
  <si>
    <t>1991-06-25</t>
  </si>
  <si>
    <t>1989-03-16</t>
  </si>
  <si>
    <t>QV 129 M848p 1986</t>
  </si>
  <si>
    <t>0                      QV 0129000M  848p        1986</t>
  </si>
  <si>
    <t>Phenylpropanolamine : a critical analysis of reported adverse reactions and overdosage / John P. Morgan.</t>
  </si>
  <si>
    <t>Morgan, John P.</t>
  </si>
  <si>
    <t>Fort Lee, N.J. : J.K. Burgess, c1986</t>
  </si>
  <si>
    <t>2001-03-29</t>
  </si>
  <si>
    <t>QV 132 F917c 1984</t>
  </si>
  <si>
    <t>0                      QV 0132000F  917c        1984</t>
  </si>
  <si>
    <t>Clinical pharmacology of the beta-adrenoceptor blocking drugs / William H. Frishman.</t>
  </si>
  <si>
    <t>Frishman, William H., 1946-</t>
  </si>
  <si>
    <t>New York : Appleton-Century-Crofts, c1984.</t>
  </si>
  <si>
    <t>QV 132 M553p 1979</t>
  </si>
  <si>
    <t>0                      QV 0132000M  553p        1979</t>
  </si>
  <si>
    <t>Proceedings of the timolol intercontinental symposium, : Stockholm, Sweden, October 27-28, 1979 / Lennart Hansson, M.D., Stevo Julius, M.D., Sc.D., and Peter J. Richardson, M.B. M.R.C.P.</t>
  </si>
  <si>
    <t>Merck, Sharp &amp; Dohme International.</t>
  </si>
  <si>
    <t>New York : Biomedical Information Corporation, c1981.</t>
  </si>
  <si>
    <t>1994-03-21</t>
  </si>
  <si>
    <t>QV 137 C517 1988</t>
  </si>
  <si>
    <t>0                      QV 0137000C  517         1988</t>
  </si>
  <si>
    <t>Chemical and biological studies on new cigarette prototypes that heat instead of burn tobacco / R.J. Reynolds Tobacco Company.</t>
  </si>
  <si>
    <t>Winston-Salem, N.C. : The Company, c1988.</t>
  </si>
  <si>
    <t>ncu</t>
  </si>
  <si>
    <t>1999-03-16</t>
  </si>
  <si>
    <t>1989-01-26</t>
  </si>
  <si>
    <t>QV 137 H456s 1969</t>
  </si>
  <si>
    <t>0                      QV 0137000H  456s        1969</t>
  </si>
  <si>
    <t>Smoking, tobacco, and health / James L. Hedrick.</t>
  </si>
  <si>
    <t>Hedrick, James L.</t>
  </si>
  <si>
    <t>[Washington] : U.S. Health Services and Mental Health Administration, 1969.</t>
  </si>
  <si>
    <t>Rev.</t>
  </si>
  <si>
    <t>Public Health Service publication ; no. 1931</t>
  </si>
  <si>
    <t>1991-09-12</t>
  </si>
  <si>
    <t>QV 137 H847 1994</t>
  </si>
  <si>
    <t>0                      QV 0137000H  847         1994</t>
  </si>
  <si>
    <t>How to help patients stop smoking : guidelines for diagnosis and treatment of nicotine dependence / American Medical Association ; [authors, Thomas P. Houston ... et al.].</t>
  </si>
  <si>
    <t>Chicago, Ill. : The Association, c1994.</t>
  </si>
  <si>
    <t>1999-11-18</t>
  </si>
  <si>
    <t>QV 137 N532 1990</t>
  </si>
  <si>
    <t>0                      QV 0137000N  532         1990</t>
  </si>
  <si>
    <t>New developments in nicotine-delivery systems / Jack E. Henningfield, Maxine L. Stitzer, editors.</t>
  </si>
  <si>
    <t>Ossining, N.Y. : Cortlandt Communications, c1991.</t>
  </si>
  <si>
    <t>1999-04-13</t>
  </si>
  <si>
    <t>1992-06-09</t>
  </si>
  <si>
    <t>QV 137 N662 1993</t>
  </si>
  <si>
    <t>0                      QV 0137000N  662         1993</t>
  </si>
  <si>
    <t>Nicotine addiction : principles and management / edited by C. Tracy Orleans, John Slade.</t>
  </si>
  <si>
    <t>New York : Oxford University Press, 1993.</t>
  </si>
  <si>
    <t>2002-01-31</t>
  </si>
  <si>
    <t>1993-12-15</t>
  </si>
  <si>
    <t>QV 137 N877s 1957</t>
  </si>
  <si>
    <t>0                      QV 0137000N  877s        1957</t>
  </si>
  <si>
    <t>Science looks at smoking : a new inquiry into the effects of smoking on your health / by Eric Northrup ; introd. by Harry S.N. Greene.</t>
  </si>
  <si>
    <t>Northrup, Eric.</t>
  </si>
  <si>
    <t>New York : Coward-McCann, c1957.</t>
  </si>
  <si>
    <t>1999-03-30</t>
  </si>
  <si>
    <t>QV 137 R434 1993</t>
  </si>
  <si>
    <t>0                      QV 0137000R  434         1993</t>
  </si>
  <si>
    <t>Respiratory health effects of passive smoking : lung cancer and other disorders / U.S. Environmental Protection Agency, U.S. Department or health and human services.</t>
  </si>
  <si>
    <t>Washington, D.C. : U. S. Dept. of Health and Human Services, U. S. Environmental Protection Agency, 1993.</t>
  </si>
  <si>
    <t>Smoking and tobacco control ; monograph 4.</t>
  </si>
  <si>
    <t>1994-02-14</t>
  </si>
  <si>
    <t>QV 137 R845t 1951</t>
  </si>
  <si>
    <t>0                      QV 0137000R  845t        1951</t>
  </si>
  <si>
    <t>Tobacco and the cardiovascular system : the effects of smoking and of nicotine on normal persons.</t>
  </si>
  <si>
    <t>Roth, Grace Marguerite, 1896-</t>
  </si>
  <si>
    <t>Springfield, Ill. : Thomas, 1951.</t>
  </si>
  <si>
    <t>American lecture series ; publication no. 100. American lectures in circulation</t>
  </si>
  <si>
    <t>QV 137 S666 1992</t>
  </si>
  <si>
    <t>0                      QV 0137000S  666         1992</t>
  </si>
  <si>
    <t>Smokeless tobacco or health : an international perspective.</t>
  </si>
  <si>
    <t>[Rockville, Md] : U.S. Department of Health and Human Services, Public Health Service, National Institutes of Health, [National Cancer Institute], 1992.</t>
  </si>
  <si>
    <t>NIH publication ; no. 92-3461</t>
  </si>
  <si>
    <t>1995-05-02</t>
  </si>
  <si>
    <t>1993-11-16</t>
  </si>
  <si>
    <t>QV 137 U575h 1990</t>
  </si>
  <si>
    <t>0                      QV 0137000U  575h        1990</t>
  </si>
  <si>
    <t>The health benefits of smoking cessation : a report of the Surgeon General, 1990.</t>
  </si>
  <si>
    <t>United States. Public Health Service. Office of the Surgeon General.</t>
  </si>
  <si>
    <t>Rockville, Md. : U.S. Dept. of Health and Human Services, Public Health Service, Centers for Disease Control, Center for Chronic Disease Prevention and Health Promotion, Office on Smoking and Health, [1990]</t>
  </si>
  <si>
    <t>DHHS publication ; no. (CDC) 90-8416</t>
  </si>
  <si>
    <t>1991-05-23</t>
  </si>
  <si>
    <t>QV 140 B787p 1990</t>
  </si>
  <si>
    <t>0                      QV 0140000B  787p        1990</t>
  </si>
  <si>
    <t>Pharmacology of neuromuscular function / William C. Bowman.</t>
  </si>
  <si>
    <t>Bowman, W. C.</t>
  </si>
  <si>
    <t>1999-10-09</t>
  </si>
  <si>
    <t>QV 140 S847m 1959</t>
  </si>
  <si>
    <t>0                      QV 0140000S  847m        1959</t>
  </si>
  <si>
    <t>The meaning of poison.</t>
  </si>
  <si>
    <t>Stevenson, Lloyd G.</t>
  </si>
  <si>
    <t>Lawrence : University of Kansas Press, 1959.</t>
  </si>
  <si>
    <t>Logan Clendening lectures on the history and philosophy of medicine ; 7th ser.</t>
  </si>
  <si>
    <t>1996-11-21</t>
  </si>
  <si>
    <t>QV 150 C14368 1992</t>
  </si>
  <si>
    <t>0                      QV 0150000C  14368       1992</t>
  </si>
  <si>
    <t>Calcium antagonists in clinical medicine / Murray Epstein, [editor].</t>
  </si>
  <si>
    <t>Philadelphia : Hanley &amp; Belfus ; St. Louis : Mosby-Year Book, c1992.</t>
  </si>
  <si>
    <t>1996-11-19</t>
  </si>
  <si>
    <t>1994-03-22</t>
  </si>
  <si>
    <t>QV 150 C2637 1985</t>
  </si>
  <si>
    <t>0                      QV 0150000C  2637        1985</t>
  </si>
  <si>
    <t>Cardiac glycosides, 1785-1985 : biochemistry, pharmacology, clinical relevance / E. Erdmann, K. Greef, J.C. Skou, eds. ; with contributions by C. Achenbach ... [et al.]</t>
  </si>
  <si>
    <t>Darmstadt, Germ. : Steinkoppf ; New York : Springer, 1986.</t>
  </si>
  <si>
    <t>Boehringer Mannheim International Symposium ; 1985</t>
  </si>
  <si>
    <t>1999-04-12</t>
  </si>
  <si>
    <t>QV 150 C2655 1986</t>
  </si>
  <si>
    <t>0                      QV 0150000C  2655        1986</t>
  </si>
  <si>
    <t>Cardiotonic drugs : a clinical survey / edited by Carl V. Leier.</t>
  </si>
  <si>
    <t>New York : Dekker, c1986.</t>
  </si>
  <si>
    <t>Basic and clinical cardiology ; v. 7</t>
  </si>
  <si>
    <t>1998-08-11</t>
  </si>
  <si>
    <t>1989-06-15</t>
  </si>
  <si>
    <t>QV 150 C267 1987</t>
  </si>
  <si>
    <t>0                      QV 0150000C  267         1987</t>
  </si>
  <si>
    <t>Cardiovascular drug therapy / edited by Stephen N. Hunyor.</t>
  </si>
  <si>
    <t>Sydney ; Baltimore, Md. : Williams &amp; Wilkins and Associates PTY Ltd. c1987.</t>
  </si>
  <si>
    <t xml:space="preserve">at </t>
  </si>
  <si>
    <t>1998-10-20</t>
  </si>
  <si>
    <t>1988-02-20</t>
  </si>
  <si>
    <t>QV 150 C275 1990</t>
  </si>
  <si>
    <t>0                      QV 0150000C  275         1990</t>
  </si>
  <si>
    <t>Cardiovascular pharmacology / editor, Michael J. Antonaccio.</t>
  </si>
  <si>
    <t>QV 150 C955b 1994</t>
  </si>
  <si>
    <t>0                      QV 0150000C  955b        1994</t>
  </si>
  <si>
    <t>Beta-blockers in clinical practice / J.M. Cruickshank, B.N.C. Prichard.</t>
  </si>
  <si>
    <t>Cruickshank, J. M.</t>
  </si>
  <si>
    <t>Edinburgh : Churchill Livingstone, c1994.</t>
  </si>
  <si>
    <t>1995-02-17</t>
  </si>
  <si>
    <t>QV 150 C9763 1989</t>
  </si>
  <si>
    <t>0                      QV 0150000C  9763        1989</t>
  </si>
  <si>
    <t>Current topics in antiarrhythmic agents : mode of action and clinical usage : international satellite symposium of the 53rd Annual Meeting of the Japanese Circulation Society, Nagoya, Japan, March 27-28, 1989 / editors, Junji Toyama, Luc M. Hondeghem.</t>
  </si>
  <si>
    <t>Amsterdam ; Princeton : Excerpta Medica, c1989.</t>
  </si>
  <si>
    <t>Current clinical practice series ; no. 56</t>
  </si>
  <si>
    <t>1992-09-22</t>
  </si>
  <si>
    <t>1991-02-25</t>
  </si>
  <si>
    <t>QV 150 D7938 1991</t>
  </si>
  <si>
    <t>0                      QV 0150000D  7938        1991</t>
  </si>
  <si>
    <t>Drugs for the heart / edited by Lionel H. Opie with the collaboration of Kanu Chatterjee ... [et al.] ; foreword by Eugene Braunwald.</t>
  </si>
  <si>
    <t>Philadelphia : W.B. Saunders Co., c1991.</t>
  </si>
  <si>
    <t>2002-07-29</t>
  </si>
  <si>
    <t>QV150 O61d 2001</t>
  </si>
  <si>
    <t>0                      QV 0150000O  61d         2001</t>
  </si>
  <si>
    <t>Drugs for the heart / Lionel H. Opie, co-editor Bernard J. Gersh ; with the collaboration of A. John Camm ... [et. al ] ; foreword by Eugene Braunwald.</t>
  </si>
  <si>
    <t>Philadelphia : Saunders, c2001.</t>
  </si>
  <si>
    <t>2003-09-22</t>
  </si>
  <si>
    <t>2002-12-19</t>
  </si>
  <si>
    <t>QV 150 P5365 1984</t>
  </si>
  <si>
    <t>0                      QV 0150000P  5365        1984</t>
  </si>
  <si>
    <t>Pharmacology of antihypertensive drugs / editor, P.A. Van Zwieten.</t>
  </si>
  <si>
    <t>Amsterdam ; New York : Elsevier, c1984.</t>
  </si>
  <si>
    <t>Handbook of hypertension ; v. 3</t>
  </si>
  <si>
    <t>QV 150 P957 1991</t>
  </si>
  <si>
    <t>0                      QV 0150000P  957         1991</t>
  </si>
  <si>
    <t>Principles of cardiac toxicology / [edited by] Steven I. Baskin.</t>
  </si>
  <si>
    <t>Boca Raton : CRC Press, c1991.</t>
  </si>
  <si>
    <t>QV 150 R19 1957</t>
  </si>
  <si>
    <t>0                      QV 0150000R  19          1957</t>
  </si>
  <si>
    <t>Rauwolfia : botany, pharmacognosy, chemistry &amp; pharmacology / Robert E. Woodson .... [et al.] ; with a foreword by Arnold J. Lehman.</t>
  </si>
  <si>
    <t>Boston : Little, Brown, 1957.</t>
  </si>
  <si>
    <t>1988-09-03</t>
  </si>
  <si>
    <t>1988-03-21</t>
  </si>
  <si>
    <t>QV 150 S358c 1988</t>
  </si>
  <si>
    <t>0                      QV 0150000S  358c        1988</t>
  </si>
  <si>
    <t>Cardiovascular drug therapy in the elderly / Adam Schneeweiss, Gotthard Schettler.</t>
  </si>
  <si>
    <t>Schneeweiss, Adam.</t>
  </si>
  <si>
    <t>Boston : Nijhoff ; Norwell, MA, USA : Distributors for North America, Kluwer Academic Publishers, c1988.</t>
  </si>
  <si>
    <t>Developments in cardiovascular medicine ; DICM72</t>
  </si>
  <si>
    <t>1989-07-07</t>
  </si>
  <si>
    <t>QV 150 S996p 1991</t>
  </si>
  <si>
    <t>0                      QV 0150000S  996p        1991</t>
  </si>
  <si>
    <t>Pharmaceutical chemistry of antihypertensive agents / authors, György Szász, Susanne Budvári-Bárány.</t>
  </si>
  <si>
    <t>Szász, György.</t>
  </si>
  <si>
    <t>1997-09-21</t>
  </si>
  <si>
    <t>1991-02-08</t>
  </si>
  <si>
    <t>QV 153 C266 1981</t>
  </si>
  <si>
    <t>0                      QV 0153000C  266         1981</t>
  </si>
  <si>
    <t>Cardiac glycosides / editor, K. Greeff.</t>
  </si>
  <si>
    <t>Berlin ; New York : Springer-Verlag, c1981.</t>
  </si>
  <si>
    <t>Handbook of experimental pharmacology ; v. 56</t>
  </si>
  <si>
    <t>1996-03-28</t>
  </si>
  <si>
    <t>QV153 C266 1981 PT. 2</t>
  </si>
  <si>
    <t>0                      QV 0153000C  266         1981                                        PT. 2</t>
  </si>
  <si>
    <t>1995-11-02</t>
  </si>
  <si>
    <t>QV 175 R269r 1991</t>
  </si>
  <si>
    <t>0                      QV 0175000R  269r        1991</t>
  </si>
  <si>
    <t>RU 486 : misconceptions, myths and morals / by Janice G. Raymond, Renate Klein, Lynette J. Dumble.</t>
  </si>
  <si>
    <t>Raymond, Janice G.</t>
  </si>
  <si>
    <t>Cambridge, Mass., USA : Institute on Women and Technology, c1991.</t>
  </si>
  <si>
    <t>1997-04-28</t>
  </si>
  <si>
    <t>1991-12-12</t>
  </si>
  <si>
    <t>QV 177 S439d 1969</t>
  </si>
  <si>
    <t>0                      QV 0177000S  439d        1969</t>
  </si>
  <si>
    <t>The doctors' case against the pill.</t>
  </si>
  <si>
    <t>Seaman, Barbara.</t>
  </si>
  <si>
    <t>New York : P.H. Wyden, 1969.</t>
  </si>
  <si>
    <t>1996-04-30</t>
  </si>
  <si>
    <t>QV183 B749i 1962</t>
  </si>
  <si>
    <t>0                      QV 0183000B  749i        1962</t>
  </si>
  <si>
    <t>Iron metabolism / Thomas H. Bothwell and Clement A. Finch.</t>
  </si>
  <si>
    <t>Bothwell, Thomas H. (Thomas Hamilton)</t>
  </si>
  <si>
    <t>Boston : Little, Brown, c1962.</t>
  </si>
  <si>
    <t>[1st ed.].</t>
  </si>
  <si>
    <t>1999-11-24</t>
  </si>
  <si>
    <t>QV 183 I701 1992</t>
  </si>
  <si>
    <t>0                      QV 0183000I  701         1992</t>
  </si>
  <si>
    <t>Iron and human disease / edited by Randall B. Lauffer.</t>
  </si>
  <si>
    <t>2001-03-16</t>
  </si>
  <si>
    <t>1992-09-09</t>
  </si>
  <si>
    <t>QV 183 I713 1994</t>
  </si>
  <si>
    <t>0                      QV 0183000I  713         1994</t>
  </si>
  <si>
    <t>Iron metabolism in health and disease / edited by Jeremy H. Brock ... [et al.].</t>
  </si>
  <si>
    <t>London ; Philadelpha : W.B. Saunders, c1994.</t>
  </si>
  <si>
    <t>1999-12-06</t>
  </si>
  <si>
    <t>1994-09-12</t>
  </si>
  <si>
    <t>QV 183 J17i 1974</t>
  </si>
  <si>
    <t>0                      QV 0183000J  17i         1974</t>
  </si>
  <si>
    <t>Iron in biochemistry / Edited by A. Jacobs and M. Worwood.</t>
  </si>
  <si>
    <t>Jacobs, A. (Allan), editor.</t>
  </si>
  <si>
    <t>London ; New York : Academic Press, 1974.</t>
  </si>
  <si>
    <t>2001-08-30</t>
  </si>
  <si>
    <t>QV 190 C697t 1985</t>
  </si>
  <si>
    <t>0                      QV 0190000C  697t        1985</t>
  </si>
  <si>
    <t>Thrombolysis : biological and therapeutic properties of new thrombolytic agents / D. Collen, H.R. Lijnen, M. Verstraete.</t>
  </si>
  <si>
    <t>Collen, D. (Désiré)</t>
  </si>
  <si>
    <t>1992-02-09</t>
  </si>
  <si>
    <t>QV 193 C513a 1980</t>
  </si>
  <si>
    <t>0                      QV 0193000C  513a        1980</t>
  </si>
  <si>
    <t>Anticoagulants and fibrinolytics / E.I. Chazov, K.M. Lakin ; translators, E.P. Fadeev, G.S. Vats, A.P. Bermont.</t>
  </si>
  <si>
    <t>Chazov, E. I.</t>
  </si>
  <si>
    <t>Chicago : Year Book Medical Publishers, c1980.</t>
  </si>
  <si>
    <t>1997-07-01</t>
  </si>
  <si>
    <t>1987-08-25</t>
  </si>
  <si>
    <t>QV 193 C8547 2008</t>
  </si>
  <si>
    <t>0                      QV 0193000C  8547        2008</t>
  </si>
  <si>
    <t>Coumarin anticoagulant research progress / Joseph P. Edardes, editor.</t>
  </si>
  <si>
    <t>New York : Nova Biomedical Books, c2008.</t>
  </si>
  <si>
    <t>2008-10-16</t>
  </si>
  <si>
    <t>QV 195 O35a 1984</t>
  </si>
  <si>
    <t>0                      QV 0195000O  35a         1984</t>
  </si>
  <si>
    <t>Antifibrinolytic drugs : chemistry, pharmacology, and clinical usage / Derek Ogston.</t>
  </si>
  <si>
    <t>Ogston, Derek.</t>
  </si>
  <si>
    <t>Chichester ; New York : Wiley, c1984.</t>
  </si>
  <si>
    <t>1992-05-05</t>
  </si>
  <si>
    <t>1988-02-09</t>
  </si>
  <si>
    <t>QV 220 D611 1983</t>
  </si>
  <si>
    <t>0                      QV 0220000D  611         1983</t>
  </si>
  <si>
    <t>Disinfection, sterilization, and preservation / Seymour S. Block.</t>
  </si>
  <si>
    <t>Philadelphia : Lea &amp; Febiger, c1983.</t>
  </si>
  <si>
    <t>1996-06-21</t>
  </si>
  <si>
    <t>QV 240 S631f 1994</t>
  </si>
  <si>
    <t>0                      QV 0240000S  631f        1994</t>
  </si>
  <si>
    <t>Fluorescent probes in cellular and molecular biology / Jan Slavik.</t>
  </si>
  <si>
    <t>Slavík, Jan, Ph.D.</t>
  </si>
  <si>
    <t>Boca Raton : CRC Press, c1994.</t>
  </si>
  <si>
    <t>1994-12-08</t>
  </si>
  <si>
    <t>1994-09-13</t>
  </si>
  <si>
    <t>QV 247 A6292 1985</t>
  </si>
  <si>
    <t>0                      QV 0247000A  6292        1985</t>
  </si>
  <si>
    <t>Anti-inflammatory and anti-rheumatic drugs / editor, K.D. Rainsford.</t>
  </si>
  <si>
    <t>Boca Raton, Fla. : CRC Press, c1985.</t>
  </si>
  <si>
    <t>QV 250 A631 1980</t>
  </si>
  <si>
    <t>0                      QV 0250000A  631         1980</t>
  </si>
  <si>
    <t>Antimicrobial therapy / [edited by] Benjamin M. Kagan ; with contributions by 70 authorities.</t>
  </si>
  <si>
    <t>Philadelphia : Saunders, 1980.</t>
  </si>
  <si>
    <t>1997-10-28</t>
  </si>
  <si>
    <t>QV 250 N532 1990</t>
  </si>
  <si>
    <t>0                      QV 0250000N  532         1990</t>
  </si>
  <si>
    <t>The New generation of quinolones / edited by Clifford Siporin, Carl L. Heifetz, John M. Domagala.</t>
  </si>
  <si>
    <t>Infectious disease and therapy ; v. 5</t>
  </si>
  <si>
    <t>1991-01-24</t>
  </si>
  <si>
    <t>QV 250 N5324 1993</t>
  </si>
  <si>
    <t>0                      QV 0250000N  5324        1993</t>
  </si>
  <si>
    <t>The New macrolides, azalides, and streptogramins : pharmacology and clinical applications / edited by Harold C. Neu, Lowell S. Young, Stephen H. Zinner.</t>
  </si>
  <si>
    <t>New York : M. Dekker, c1993.</t>
  </si>
  <si>
    <t>Infectious disease and therapy ; v. 8</t>
  </si>
  <si>
    <t>2006-09-30</t>
  </si>
  <si>
    <t>QV 250 P888c 1946</t>
  </si>
  <si>
    <t>0                      QV 0250000P  888c        1946</t>
  </si>
  <si>
    <t>Chemotherapy / edited by Wendell H. Powers.</t>
  </si>
  <si>
    <t>New York : Reinhold, 1946.</t>
  </si>
  <si>
    <t>1946</t>
  </si>
  <si>
    <t>Advancing fronts in chemistry ; vol. 2</t>
  </si>
  <si>
    <t>1999-01-25</t>
  </si>
  <si>
    <t>1988-03-24</t>
  </si>
  <si>
    <t>QV 250 P917a 1986</t>
  </si>
  <si>
    <t>0                      QV 0250000P  917a        1986</t>
  </si>
  <si>
    <t>The antimicrobial drugs / William B. Pratt, Robert Fekety.</t>
  </si>
  <si>
    <t>Pratt, William B., 1938-</t>
  </si>
  <si>
    <t>New York : Oxford University Press, c1986.</t>
  </si>
  <si>
    <t>1988-08-30</t>
  </si>
  <si>
    <t>QV 250 Q68 1998</t>
  </si>
  <si>
    <t>0                      QV 0250000Q  68          1998</t>
  </si>
  <si>
    <t>The quinolones / edited by Vincent T. Andriole.</t>
  </si>
  <si>
    <t>San Diego : Academic Press, c1998.</t>
  </si>
  <si>
    <t>2010-02-19</t>
  </si>
  <si>
    <t>1999-07-23</t>
  </si>
  <si>
    <t>QV 250 S713a 1992</t>
  </si>
  <si>
    <t>0                      QV 0250000S  713a        1992</t>
  </si>
  <si>
    <t>Antimicrobial agents teaching module / Alfred F. Sorbello.</t>
  </si>
  <si>
    <t>Sorbello, Alfred F.</t>
  </si>
  <si>
    <t>Chapel Hill, NC : Health Sciences Consortium, c1992.</t>
  </si>
  <si>
    <t>1994-11-30</t>
  </si>
  <si>
    <t>1994-11-22</t>
  </si>
  <si>
    <t>QV268.5 A139a 1988</t>
  </si>
  <si>
    <t>0                      QV 0268500A  139a        1988</t>
  </si>
  <si>
    <t>Anti varicella-zoster activity of 2HM-HBG, a new acyclic guanosin analog / by Gunnar Abele.</t>
  </si>
  <si>
    <t>Abele, Gunnar.</t>
  </si>
  <si>
    <t>Stockholm : Kongl. Carolinska Medico Chirurgiska Institutet, c1988.</t>
  </si>
  <si>
    <t>1989-05-13</t>
  </si>
  <si>
    <t>QV 268.5 A6325 1988</t>
  </si>
  <si>
    <t>0                      QV 0268500A  6325        1988</t>
  </si>
  <si>
    <t>Antiviral agents : the development and assessment of antiviral chemotherapy / editor, Hugh J. Field.</t>
  </si>
  <si>
    <t>Boca Raton, Fla. : CRC Press, c1988.</t>
  </si>
  <si>
    <t>1999-07-26</t>
  </si>
  <si>
    <t>QV 268.5 C517 1982</t>
  </si>
  <si>
    <t>0                      QV 0268500C  517         1982</t>
  </si>
  <si>
    <t>Chemotherapy of viral infections / editors, Paul E. Came and Lawrence A. Caliguiri.</t>
  </si>
  <si>
    <t>V. 61</t>
  </si>
  <si>
    <t>Berlin ; New York : Springer-Verlag, c1982.</t>
  </si>
  <si>
    <t>Handbook of experimental pharmacology ; v. 61</t>
  </si>
  <si>
    <t>1995-12-16</t>
  </si>
  <si>
    <t>QV 268.5 D457 1990</t>
  </si>
  <si>
    <t>0                      QV 0268500D  457         1990</t>
  </si>
  <si>
    <t>Design of anti-AIDS drugs / edited by E. De Clercq with the editorial assistance of C. Callebaut.</t>
  </si>
  <si>
    <t>Amsterdam ; New York : Elsevier ; New York, NY, U.S.A. : Distributors for the U.S. and Canada, Elsevier Science Pub. Co., c1990.</t>
  </si>
  <si>
    <t>Pharmacochemistry library ; v. 14</t>
  </si>
  <si>
    <t>1998-06-02</t>
  </si>
  <si>
    <t>1991-01-29</t>
  </si>
  <si>
    <t>QV 269 C264 1990</t>
  </si>
  <si>
    <t>0                      QV 0269000C  264         1990</t>
  </si>
  <si>
    <t>Carboplatin (JM-8) : current perspectives and future directions / Editors: Paul A. Bunn, Jr. ... [et al.].</t>
  </si>
  <si>
    <t>Philadelphia : Saunders, c1990.</t>
  </si>
  <si>
    <t>1990-10-23</t>
  </si>
  <si>
    <t>QV 269 G394f 2008</t>
  </si>
  <si>
    <t>0                      QV 0269000G  394f        2008</t>
  </si>
  <si>
    <t>Free radicals effect on cytostatica, vitamins, hormones and phytocompounds with respect to cancer : an introduction to molecular radiation biology / Nikola Getoff.</t>
  </si>
  <si>
    <t>Getoff, Nikola, 1922-</t>
  </si>
  <si>
    <t>New York : Nova Science Publishers, c2008.</t>
  </si>
  <si>
    <t>QV 269 M489n 1981</t>
  </si>
  <si>
    <t>0                      QV 0269000M  489n        1981</t>
  </si>
  <si>
    <t>New approaches to the design of antineoplastic agents : proceedings of the Twenty-second Annual Medicinal Chemistry Symposium, Amherst, New York, U.S.A., May 18-20, 1981 / editors, Thomas J. Bardos and Thomas I. Kalman.</t>
  </si>
  <si>
    <t>Medicinal Chemistry Symposium (22nd : 1981 : Amherst, N.Y.)</t>
  </si>
  <si>
    <t>New York : Elsevier Biomedical, c1982.</t>
  </si>
  <si>
    <t>1996-11-30</t>
  </si>
  <si>
    <t>QV 269 N53167 1992</t>
  </si>
  <si>
    <t>0                      QV 0269000N  53167       1992</t>
  </si>
  <si>
    <t>New approaches in cancer pharmacology : drug design and development / P. Workman, ed.</t>
  </si>
  <si>
    <t>Berlin ; New York : Springer-Verlag, c1992.</t>
  </si>
  <si>
    <t>Monographs (European School of Oncology)</t>
  </si>
  <si>
    <t>1993-10-12</t>
  </si>
  <si>
    <t>QV 269 N5323 1991</t>
  </si>
  <si>
    <t>0                      QV 0269000N  5323        1991</t>
  </si>
  <si>
    <t>New drugs, concepts, and results in cancer chemotherapy / edited by F.M. Muggia.</t>
  </si>
  <si>
    <t>Norwell, Mass. : Kluwer Academic Publishers, c1991.</t>
  </si>
  <si>
    <t>Cancer treatment and research ; v. 58</t>
  </si>
  <si>
    <t>QV 269 T755 1991</t>
  </si>
  <si>
    <t>0                      QV 0269000T  755         1991</t>
  </si>
  <si>
    <t>The Toxicity of anticancer drugs / edited by Garth Powis, Miles P. Hacker.</t>
  </si>
  <si>
    <t>New York : Pergamon Press, c1991.</t>
  </si>
  <si>
    <t>1994-12-14</t>
  </si>
  <si>
    <t>1991-09-24</t>
  </si>
  <si>
    <t>QV 275 B553 1991</t>
  </si>
  <si>
    <t>0                      QV 0275000B  553         1991</t>
  </si>
  <si>
    <t>Beryllium : biomedical and environmental aspects / edited by Milton D. Rossman, Otto P. Preuss, Martin B. Powers.</t>
  </si>
  <si>
    <t>Baltimore : Williams &amp; Wilkins, c1991.</t>
  </si>
  <si>
    <t>1990-12-21</t>
  </si>
  <si>
    <t>QV 276 C14297 1983</t>
  </si>
  <si>
    <t>0                      QV 0276000C  14297       1983</t>
  </si>
  <si>
    <t>Calcium in biological systems / edited by Ronald P. Rubin, George B. Weiss, and James W. Putney, Jr.</t>
  </si>
  <si>
    <t>New York : Plenum, c1985.</t>
  </si>
  <si>
    <t>1991-01-17</t>
  </si>
  <si>
    <t>QV 276 C143 1983</t>
  </si>
  <si>
    <t>0                      QV 0276000C  143         1983</t>
  </si>
  <si>
    <t>Calcium in biology / edited by Thomas G. Spiro.</t>
  </si>
  <si>
    <t>New York : Wiley, c1983.</t>
  </si>
  <si>
    <t>Metal ions in biology, ISSN 0271-2911 ;v. 6</t>
  </si>
  <si>
    <t>1999-10-26</t>
  </si>
  <si>
    <t>QV 276 C1436 1988</t>
  </si>
  <si>
    <t>0                      QV 0276000C  1436        1988</t>
  </si>
  <si>
    <t>Calcium in human biology / B.E.C. Nordin (ed.).</t>
  </si>
  <si>
    <t>London ; New York : Springer-Verlag, c1988.</t>
  </si>
  <si>
    <t>ILSI human nutrition reviews</t>
  </si>
  <si>
    <t>1993-01-11</t>
  </si>
  <si>
    <t>1989-02-11</t>
  </si>
  <si>
    <t>QV 276 C164 1985</t>
  </si>
  <si>
    <t>0                      QV 0276000C  164         1985</t>
  </si>
  <si>
    <t>Calmodulin antagonists and cellular physiology / edited by Hiroyoshi Hidaka, David J. Hartshorne.</t>
  </si>
  <si>
    <t>Orlando : Academic Press, c1985.</t>
  </si>
  <si>
    <t>QV 276 C187i 1983</t>
  </si>
  <si>
    <t>0                      QV 0276000C  187i        1983</t>
  </si>
  <si>
    <t>Intracellular calcium : its universal role as regulator / Anthony K. Campbell.</t>
  </si>
  <si>
    <t>Campbell, Anthony K.</t>
  </si>
  <si>
    <t>Chichester [West Sussex] ; New York : Wiley, c1983.</t>
  </si>
  <si>
    <t>Monographs in molecular biophysics and biochemistry</t>
  </si>
  <si>
    <t>1990-07-23</t>
  </si>
  <si>
    <t>QV 276 C3933 1987</t>
  </si>
  <si>
    <t>0                      QV 0276000C  3933        1987</t>
  </si>
  <si>
    <t>Cell calcium metabolism : physiology, biochemistry, pharmacology, and clinical implications / edited by Gary Fiskum.</t>
  </si>
  <si>
    <t>New York : Plenum Press, c1989.</t>
  </si>
  <si>
    <t>GWUMC Department of Biochemistry annual spring symposia</t>
  </si>
  <si>
    <t>1990-04-10</t>
  </si>
  <si>
    <t>1988-11-30</t>
  </si>
  <si>
    <t>QV 276 K36i 1981</t>
  </si>
  <si>
    <t>0                      QV 0276000K  36i         1981</t>
  </si>
  <si>
    <t>Intestinal calcium absorption and its regulation / author, Alexander D. Kenny.</t>
  </si>
  <si>
    <t>Kenny, Alexander D.</t>
  </si>
  <si>
    <t>Boca Raton, Fl. : CRC Press, 1981.</t>
  </si>
  <si>
    <t>1989-11-30</t>
  </si>
  <si>
    <t>QV 276 M533 1982</t>
  </si>
  <si>
    <t>0                      QV 0276000M  533         1982</t>
  </si>
  <si>
    <t>Membrane transport of calcium / edited by Ernesto Carafoli.</t>
  </si>
  <si>
    <t>London ; New York : Academic Press, c1982.</t>
  </si>
  <si>
    <t>2006-04-04</t>
  </si>
  <si>
    <t>QV 276 N331c 1988</t>
  </si>
  <si>
    <t>0                      QV 0276000N  331c        1988</t>
  </si>
  <si>
    <t>Calcium antagonists / Winifred G. Nayler.</t>
  </si>
  <si>
    <t>Nayler, W.</t>
  </si>
  <si>
    <t>London ; San Diego : Academic, c1988.</t>
  </si>
  <si>
    <t>1996-01-09</t>
  </si>
  <si>
    <t>QV 276 P895 1994</t>
  </si>
  <si>
    <t>0                      QV 0276000P  895         1994</t>
  </si>
  <si>
    <t>A Practical guide to the study of calcium in living cells / edited by Richard Nuccitelli.</t>
  </si>
  <si>
    <t>San Diego : Academic Press, c1994.</t>
  </si>
  <si>
    <t>Methods in cell biology, 0091-679X ; v. 40</t>
  </si>
  <si>
    <t>1995-05-25</t>
  </si>
  <si>
    <t>QV 276 R228c 1981</t>
  </si>
  <si>
    <t>0                      QV 0276000R  228c        1981</t>
  </si>
  <si>
    <t>Calcium and cAMP as synarchic messengers / Howard Rasmussen.</t>
  </si>
  <si>
    <t>Rasmussen, Howard, 1925-</t>
  </si>
  <si>
    <t>New York : Wiley, c1981.</t>
  </si>
  <si>
    <t>1992-04-13</t>
  </si>
  <si>
    <t>QV 276 R333c 1986</t>
  </si>
  <si>
    <t>0                      QV 0276000R  333c        1986</t>
  </si>
  <si>
    <t>The Ca2+ pump of plasma membranes / authors, Alcides F. Rega, Patricio J. Garrahan.</t>
  </si>
  <si>
    <t>Rega, Alcides F.</t>
  </si>
  <si>
    <t>Boca Raton, Fla. : CRC Press, c1986.</t>
  </si>
  <si>
    <t>QV 276 R746 1987</t>
  </si>
  <si>
    <t>0                      QV 0276000R  746         1987</t>
  </si>
  <si>
    <t>The Role of calcium in drug action / section editor, M.A. Denborough.</t>
  </si>
  <si>
    <t>Oxford ; New York : Pergamon Press, c1986.</t>
  </si>
  <si>
    <t>International encyclopedia of pharmacology and therapeutics ; section 124</t>
  </si>
  <si>
    <t>1988-11-10</t>
  </si>
  <si>
    <t>QV 282 F647 1970</t>
  </si>
  <si>
    <t>0                      QV 0282000F  647         1970</t>
  </si>
  <si>
    <t>Fluoride in medicine : ([Report of] a symposium which took place at Bad Ragaz on April 17th to 19th, 1969.) / ed. by T(homas) L. Vischer.</t>
  </si>
  <si>
    <t>Bern, Stuttgart, Vienna : Hans Huber, (1970)</t>
  </si>
  <si>
    <t>1990-05-09</t>
  </si>
  <si>
    <t>QV 282 S989c 1971</t>
  </si>
  <si>
    <t>0                      QV 0282000S  989c        1971</t>
  </si>
  <si>
    <t>Carbon-fluorine compounds : chemistry, biochemistry &amp; biological activities : a Ciba Foundation symposium.</t>
  </si>
  <si>
    <t>Symposium on Carbon-Fluorine Compounds: Chemistry, Biochemistry and Biological Activities (1971 : London, England)</t>
  </si>
  <si>
    <t>Amsterdam ; New York : Associated Scientific Publishers, 1972.</t>
  </si>
  <si>
    <t>2002-11-05</t>
  </si>
  <si>
    <t>QV 282 W595m 1996</t>
  </si>
  <si>
    <t>0                      QV 0282000W  595m        1996</t>
  </si>
  <si>
    <t>The metabolism and toxicity of fluoride / Gary M. Whitford.</t>
  </si>
  <si>
    <t>Whitford, Gary M.</t>
  </si>
  <si>
    <t>Basel ; New York : Karger, c1996.</t>
  </si>
  <si>
    <t>2nd, rev. ed.</t>
  </si>
  <si>
    <t>Monographs in oral science ; vol. 16</t>
  </si>
  <si>
    <t>1997-06-17</t>
  </si>
  <si>
    <t>QV 290 F897c 1971</t>
  </si>
  <si>
    <t>0                      QV 0290000F  897c        1971</t>
  </si>
  <si>
    <t>Cadmium in the environment / by Lars Friberg.</t>
  </si>
  <si>
    <t>Friberg, Lars.</t>
  </si>
  <si>
    <t>Cleveland : CRC Press, c1971.</t>
  </si>
  <si>
    <t>QV 290 F897m 1972</t>
  </si>
  <si>
    <t>0                      QV 0290000F  897m        1972</t>
  </si>
  <si>
    <t>Mercury in the environment : an epidemiological and toxicological appraisal / editors, Lars Friberg, Jaroslav Vostal.</t>
  </si>
  <si>
    <t>Cleveland : CRC Press, c1972, 1976 printing.</t>
  </si>
  <si>
    <t>2002-10-06</t>
  </si>
  <si>
    <t>QV 290 L941m 1977 v.1</t>
  </si>
  <si>
    <t>0                      QV 0290000L  941m        1977                                        v.1</t>
  </si>
  <si>
    <t>Metal toxicity in mammals / T.D. Luckey and B. Venugopal.</t>
  </si>
  <si>
    <t>Luckey, T. D. (Thomas D.), 1919-</t>
  </si>
  <si>
    <t>New York : Plenum Press, c1977.</t>
  </si>
  <si>
    <t>2002-09-16</t>
  </si>
  <si>
    <t>QV290 M718 2001</t>
  </si>
  <si>
    <t>0                      QV 0290000M  718         2001</t>
  </si>
  <si>
    <t>Molecular mechanisms of metal toxicity and carcinogenesis / edited by Xianglin Shi... [et. al].</t>
  </si>
  <si>
    <t>Dordrecht ; Boston, MA : Kluwer Academic Pub., 2001.</t>
  </si>
  <si>
    <t>Developments in molecular and cellular biochemistry ; v. 34</t>
  </si>
  <si>
    <t>2003-01-02</t>
  </si>
  <si>
    <t>2002-12-13</t>
  </si>
  <si>
    <t>QV 290 T756 1979 pt.2</t>
  </si>
  <si>
    <t>0                      QV 0290000T  756         1979                                        pt.2</t>
  </si>
  <si>
    <t>Toxicity of heavy metals in the environment : part 2 / edited by Frederick W. Oehme.</t>
  </si>
  <si>
    <t>pt.2*</t>
  </si>
  <si>
    <t>Hazardous and toxic substances ; 2</t>
  </si>
  <si>
    <t>2000-03-20</t>
  </si>
  <si>
    <t>QV 292 L4344 1986</t>
  </si>
  <si>
    <t>0                      QV 0292000L  4344        1986</t>
  </si>
  <si>
    <t>Lead toxicity : history and environmental impact / edited by Richard Lansdown and William Yule.</t>
  </si>
  <si>
    <t>Baltimore : Johns Hopkins University Press, c1986.</t>
  </si>
  <si>
    <t>The Johns Hopkins series in environmental toxicology</t>
  </si>
  <si>
    <t>2002-10-03</t>
  </si>
  <si>
    <t>QV 310 K244m 1962</t>
  </si>
  <si>
    <t>0                      QV 0310000K  244m        1962</t>
  </si>
  <si>
    <t>Microaerosols : physiology, pharmacology, therapeutics.</t>
  </si>
  <si>
    <t>Dautrebande, Lucien.</t>
  </si>
  <si>
    <t>New York : Academic Press, 1962.</t>
  </si>
  <si>
    <t>1991-01-31</t>
  </si>
  <si>
    <t>QV 312 B6152 1992</t>
  </si>
  <si>
    <t>0                      QV 0312000B  6152        1992</t>
  </si>
  <si>
    <t>Biological consequences of oxidative stress : implications for cardiovascular disease and carcinogenesis / edited by Lawrence Spatz, Arthur D. Bloom.</t>
  </si>
  <si>
    <t>New York : Oxford University Press, c1992.</t>
  </si>
  <si>
    <t>The Conte Institute series ; 1.</t>
  </si>
  <si>
    <t>2000-04-14</t>
  </si>
  <si>
    <t>1993-08-27</t>
  </si>
  <si>
    <t>QV 312 B61526 1992</t>
  </si>
  <si>
    <t>0                      QV 0312000B  61526       1992</t>
  </si>
  <si>
    <t>Biological oxidants : generation and injurious consequences / edited by Charles G. Cochrane, Michael A. Gimbrone, Jr.</t>
  </si>
  <si>
    <t>San Diego : Academic Press, c1992.</t>
  </si>
  <si>
    <t>Cellular and molecular mechanisms of inflammation, 1052-582 ; v. 4</t>
  </si>
  <si>
    <t>QV 312 C738p 1950</t>
  </si>
  <si>
    <t>0                      QV 0312000C  738p        1950</t>
  </si>
  <si>
    <t>Physiological basis for oxygen therapy / by Julius H. Comroe, Jr. and Robert D. Dripps.</t>
  </si>
  <si>
    <t>Comroe, Julius H. (Julius Hiram), 1911-</t>
  </si>
  <si>
    <t>Springfield, Ill. : Thomas, [1950]</t>
  </si>
  <si>
    <t>1950</t>
  </si>
  <si>
    <t>American lecture series, publication no. 42. American lectures in physiology</t>
  </si>
  <si>
    <t>QV 312 F853 1992</t>
  </si>
  <si>
    <t>0                      QV 0312000F  853         1992</t>
  </si>
  <si>
    <t>Free radical mechanisms of tissue injury / editors, Mary Treinen Moslen, Charles V. Smith.</t>
  </si>
  <si>
    <t>Ann Arbor : CRC Press, c1992.</t>
  </si>
  <si>
    <t>1992-04-09</t>
  </si>
  <si>
    <t>QV 312 O9515 1997</t>
  </si>
  <si>
    <t>0                      QV 0312000O  9515        1997</t>
  </si>
  <si>
    <t>Oxidative stress and the molecular biology of antioxidant defenses / edited by John G. Scandalios.</t>
  </si>
  <si>
    <t>Plainview, N.Y. : Cold Spring Harbor Laboratory Press, c1997.</t>
  </si>
  <si>
    <t>Cold Spring Harbor monograph series ; 34</t>
  </si>
  <si>
    <t>2005-08-25</t>
  </si>
  <si>
    <t>1998-02-27</t>
  </si>
  <si>
    <t>QV 312 O9558 1993</t>
  </si>
  <si>
    <t>0                      QV 0312000O  9558        1993</t>
  </si>
  <si>
    <t>Oxygen free radicals in tissue damage / Merrill Tarr, Fred Samson, editors.</t>
  </si>
  <si>
    <t>Boston : Birkhäuser, c1993.</t>
  </si>
  <si>
    <t>2001-02-21</t>
  </si>
  <si>
    <t>QV 312 O9664 1988</t>
  </si>
  <si>
    <t>0                      QV 0312000O  9664        1988</t>
  </si>
  <si>
    <t>Oxygen radicals in the pathophysiology of heart disease / edited by Pawan K. Singal.</t>
  </si>
  <si>
    <t>Boston : Nijhoff ; Norwell, MA : Distributors for the U.S. and Canada, Kluwer Academic Publishers, c1988.</t>
  </si>
  <si>
    <t>Developments in cardiovascular medicine</t>
  </si>
  <si>
    <t>1988-07-25</t>
  </si>
  <si>
    <t>QV 312 O9675 1998</t>
  </si>
  <si>
    <t>0                      QV 0312000O  9675        1998</t>
  </si>
  <si>
    <t>Oxygen regulation of ion channels and gene expression / edited by José López-Barneo, E. Kenneth Weir.</t>
  </si>
  <si>
    <t>Armonk, N.Y. : Futura Pub., c1998.</t>
  </si>
  <si>
    <t>2000-04-07</t>
  </si>
  <si>
    <t>2000-03-03</t>
  </si>
  <si>
    <t>QV 312 O968 1988</t>
  </si>
  <si>
    <t>0                      QV 0312000O  968         1988</t>
  </si>
  <si>
    <t>Oxygen sensing in tissues / Helmut Acker (editor).</t>
  </si>
  <si>
    <t>Berlin ; New York : Springer-Verlag, c1988.</t>
  </si>
  <si>
    <t>1988-12-15</t>
  </si>
  <si>
    <t>QV 312 O98 1987</t>
  </si>
  <si>
    <t>0                      QV 0312000O  98          1987</t>
  </si>
  <si>
    <t>Oxygen radicals and tissue injury : proceedings of a Brook Lodge symposium, Augusta, Michigan, U.S.A., April 27 to 29, 1987 / Barry Halliwell, editor.</t>
  </si>
  <si>
    <t>Bethesda, MD, U.S.A. : Published for the Upjohn Company by the Federation of American Societies of Experimental Biology, c1988.</t>
  </si>
  <si>
    <t>QV 312 P297 1979</t>
  </si>
  <si>
    <t>0                      QV 0312000P  297         1979</t>
  </si>
  <si>
    <t>Pathology of oxygen / edited by Anne P. Autor.</t>
  </si>
  <si>
    <t>New York : Academic Press, c1982.</t>
  </si>
  <si>
    <t>QV 350 A517</t>
  </si>
  <si>
    <t>0                      QV 0350000A  517</t>
  </si>
  <si>
    <t>Aminoglycoside antibiotics / edited by Susumu Mitsuhashi.</t>
  </si>
  <si>
    <t>Baltimore : University Park Press, [1975]</t>
  </si>
  <si>
    <t>Drug action and drug resistance in bacteria ; 2</t>
  </si>
  <si>
    <t>1997-12-12</t>
  </si>
  <si>
    <t>QV350 A6262 2005</t>
  </si>
  <si>
    <t>0                      QV 0350000A  6262        2005</t>
  </si>
  <si>
    <t>Antibiotic optimization : concepts and strategies in clinical practice / edited by Robert C. Owens, Paul G. Ambrose, Charles H. Nightingale.</t>
  </si>
  <si>
    <t>New York : Marcel Dekker, c2005.</t>
  </si>
  <si>
    <t>Infectious disease and therapy ; v. 33</t>
  </si>
  <si>
    <t>2005-10-27</t>
  </si>
  <si>
    <t>2005-10-25</t>
  </si>
  <si>
    <t>QV 350 A629 1979</t>
  </si>
  <si>
    <t>0                      QV 0350000A  629         1979</t>
  </si>
  <si>
    <t>Antibiotic interactions / editor, J. D. Williams.</t>
  </si>
  <si>
    <t>London ; New York : Academic Press, 1979.</t>
  </si>
  <si>
    <t>1997-07-26</t>
  </si>
  <si>
    <t>QV350 A629 2003</t>
  </si>
  <si>
    <t>0                      QV 0350000A  629         2003</t>
  </si>
  <si>
    <t>Antibiotic and chemotherapy : anti-infective agents and their use in therapy.</t>
  </si>
  <si>
    <t>Edinburgh ; New York : Churchill Livingstone, 2003.</t>
  </si>
  <si>
    <t>8th ed / edited by Roger G. Finch ... [et al.].</t>
  </si>
  <si>
    <t>2010-02-08</t>
  </si>
  <si>
    <t>QV 350 A6294 1982</t>
  </si>
  <si>
    <t>0                      QV 0350000A  6294        1982</t>
  </si>
  <si>
    <t>Antibiotics in the management of infections : outlook for the 1980's / Merck Sharp &amp; Dohme International Medical Advisory Council, Paris, France, June 14 and 15, 1982 ; editor, Alexander G. Bearn.</t>
  </si>
  <si>
    <t>New York : Raven Press, c1982.</t>
  </si>
  <si>
    <t>QV350 A6337 2002</t>
  </si>
  <si>
    <t>0                      QV 0350000A  6337        2002</t>
  </si>
  <si>
    <t>Antimicrobial pharmacodynamics in theory and clinical practice / edited by Charles H. Nightingale, Takeo Murakawa, Paul G. Ambrose.</t>
  </si>
  <si>
    <t>New York : M. Dekker, c2002.</t>
  </si>
  <si>
    <t>Infectious disease and therapy ; v. 28</t>
  </si>
  <si>
    <t>2002-01-11</t>
  </si>
  <si>
    <t>QV 350 A636 1976a</t>
  </si>
  <si>
    <t>0                      QV 0350000A  636         1976a</t>
  </si>
  <si>
    <t>Antibiotics : a critical review / edited by W. Kuryłowicz ; contributors, W. Kuryłowicz ... [et al.].</t>
  </si>
  <si>
    <t>Warsaw : Polish Medical Publishers ; Washington : distributed in USA and Canada by American Society for Microbiology, c1976.</t>
  </si>
  <si>
    <t>1st English ed.</t>
  </si>
  <si>
    <t>1997-10-24</t>
  </si>
  <si>
    <t>QV 350 B265h 1950</t>
  </si>
  <si>
    <t>0                      QV 0350000B  265h        1950</t>
  </si>
  <si>
    <t>Handbook of antibiotics.</t>
  </si>
  <si>
    <t>Baron, Abraham Louis, 1907-</t>
  </si>
  <si>
    <t>New York : Reinhold, 1950.</t>
  </si>
  <si>
    <t>1995-11-25</t>
  </si>
  <si>
    <t>QV 350 E95 1997</t>
  </si>
  <si>
    <t>0                      QV 0350000E  95          1997</t>
  </si>
  <si>
    <t>Expanding indications for the new macrolides, azalides, and streptogramins / edited by Stephen H. Zinner ... [et al.].</t>
  </si>
  <si>
    <t>New York : Dekker, c1997.</t>
  </si>
  <si>
    <t>Infectious disease and therapy ; v. 21</t>
  </si>
  <si>
    <t>2002-07-26</t>
  </si>
  <si>
    <t>QV 350 G151m 1972</t>
  </si>
  <si>
    <t>0                      QV 0350000G  151m        1972</t>
  </si>
  <si>
    <t>The molecular basis of antibiotic action / E. F. Gale [et al.]</t>
  </si>
  <si>
    <t>Gale, E. F. (Ernest Frederick)</t>
  </si>
  <si>
    <t>London, New York, Wiley, 1972.</t>
  </si>
  <si>
    <t>1998-09-16</t>
  </si>
  <si>
    <t>QV 350 G568 1994</t>
  </si>
  <si>
    <t>0                      QV 0350000G  568         1994</t>
  </si>
  <si>
    <t>Glycopeptide antibiotics / edited by Ramakrishnan Nagarajan.</t>
  </si>
  <si>
    <t>New York : M. Dekker, c1994.</t>
  </si>
  <si>
    <t>Drugs and the pharmaceutical sciences ; 63</t>
  </si>
  <si>
    <t>2005-10-02</t>
  </si>
  <si>
    <t>1994-06-07</t>
  </si>
  <si>
    <t>QV 350 G686a 1967</t>
  </si>
  <si>
    <t>0                      QV 0350000G  686a        1967</t>
  </si>
  <si>
    <t>Antibiotics / edited by David Gottlieb and Paul D. Shaw.</t>
  </si>
  <si>
    <t>Gottlieb, David, 1911-1982.</t>
  </si>
  <si>
    <t>New York : Springer-Verlag, 1967</t>
  </si>
  <si>
    <t>1967</t>
  </si>
  <si>
    <t>2000-02-09</t>
  </si>
  <si>
    <t>QV 350 H673 1980</t>
  </si>
  <si>
    <t>0                      QV 0350000H  673         1980</t>
  </si>
  <si>
    <t>The History of antibiotics : a symposium / sponsored by the Divisions of History of Chemistry and Medicinal Chemistry, American Chemical Society Meeting, Honolulu, Hawaii, April 5, 1979 ; edited by John Parascandola.</t>
  </si>
  <si>
    <t>Madison, Wis. : American Institute of the History of Pharmacy, 1980.</t>
  </si>
  <si>
    <t>American Institute of the History of Pharmacy ; no. 5 [New series]</t>
  </si>
  <si>
    <t>2001-11-30</t>
  </si>
  <si>
    <t>QV 350 H972a 1954</t>
  </si>
  <si>
    <t>0                      QV 0350000H  972a        1954</t>
  </si>
  <si>
    <t>Antibiotics and antibiotic therapy : a clinical manual / Allen E. Hussar [and] Howard L. Holley.</t>
  </si>
  <si>
    <t>Hussar, Allen E. (Allen Elmer), 1900-</t>
  </si>
  <si>
    <t>New York : Macmillan, 1954.</t>
  </si>
  <si>
    <t>1954</t>
  </si>
  <si>
    <t>1992-11-30</t>
  </si>
  <si>
    <t>QV 350 I61 1982</t>
  </si>
  <si>
    <t>0                      QV 0350000I  61          1982</t>
  </si>
  <si>
    <t>Proceedings, an International Conference on Trends in Antibiotic Research : genetics, biosyntheses, actions &amp; new substances / held in Tokyo, June 14-15, 1982 ; edited by Hamao Umezawa ... [et al.]</t>
  </si>
  <si>
    <t>International Conference on Trends in Antibiotic Research (1982 : Tokyo, Japan)</t>
  </si>
  <si>
    <t>Tokyo : Japan Antibiotics Research Association, c1982.</t>
  </si>
  <si>
    <t>2002-04-04</t>
  </si>
  <si>
    <t>QV 350 M378m 1958</t>
  </si>
  <si>
    <t>0                      QV 0350000M  378m        1958</t>
  </si>
  <si>
    <t>Men, molds, and history.</t>
  </si>
  <si>
    <t>Martí-Ibáñez, Félix, 1915-1972.</t>
  </si>
  <si>
    <t>New York : MD Publications, inc., [1958]</t>
  </si>
  <si>
    <t>1958</t>
  </si>
  <si>
    <t>QV 350 M478o 1982</t>
  </si>
  <si>
    <t>0                      QV 0350000M  478o        1982</t>
  </si>
  <si>
    <t>Outline guide to antimicrobial therapy / John E. McGowan, Jr.</t>
  </si>
  <si>
    <t>McGowan, John E., 1942-</t>
  </si>
  <si>
    <t>Oradell, N.J. : Medical Economics Co., c1982.</t>
  </si>
  <si>
    <t>QV 350 M613a 1991</t>
  </si>
  <si>
    <t>0                      QV 0350000M  613a        1991</t>
  </si>
  <si>
    <t>Antimicrobial therapy guide / by Burt R. Meyers.</t>
  </si>
  <si>
    <t>Meyers, Burt R.</t>
  </si>
  <si>
    <t>Newtown, Pa. : Antimicrobial Prescribing, Inc., c1991.</t>
  </si>
  <si>
    <t>6th ed. 1991.</t>
  </si>
  <si>
    <t>1991-07-23</t>
  </si>
  <si>
    <t>QV350 M626 1989</t>
  </si>
  <si>
    <t>0                      QV 0350000M  626         1989</t>
  </si>
  <si>
    <t>Microbial resistance to drugs / contributors, A. Böck ... [et al.] ; editor, L.E. Bryan.</t>
  </si>
  <si>
    <t>Berlin ; New York : Springer-Verlag, c1989.</t>
  </si>
  <si>
    <t>Handbook of experimental pharmacology ; v. 91</t>
  </si>
  <si>
    <t>1989-10-13</t>
  </si>
  <si>
    <t>QV 350 P376a 1981</t>
  </si>
  <si>
    <t>0                      QV 0350000P  376a        1981</t>
  </si>
  <si>
    <t>Antibiotics in clinical medicine : case studies : 50 case histories related to the antibiotic treatment and prophylaxis of infectious diseases / by P. Samuel Pegram, and Joseph E. Johnson, III.</t>
  </si>
  <si>
    <t>Pegram, P. Samuel.</t>
  </si>
  <si>
    <t>Garden City, N.Y. : Medical Examination Pub. Co., c1981.</t>
  </si>
  <si>
    <t>QV 350 P916a 1953</t>
  </si>
  <si>
    <t>0                      QV 0350000P  916a        1953</t>
  </si>
  <si>
    <t>Antibiotics / by Robertson Pratt and Jean Dufrenoy.</t>
  </si>
  <si>
    <t>Pratt, Robertson, 1909-1976.</t>
  </si>
  <si>
    <t>Philadelphia : Lippincott, 1953.</t>
  </si>
  <si>
    <t>1953</t>
  </si>
  <si>
    <t>QV 350 P957 1998</t>
  </si>
  <si>
    <t>0                      QV 0350000P  957         1998</t>
  </si>
  <si>
    <t>Principles of judicious use of antimicrobial agents : a compendium for the health care professional / American Academy of Pediatrics.</t>
  </si>
  <si>
    <t>Elk Grove Village, IL : American Academy of Pediatrics, 1998.</t>
  </si>
  <si>
    <t>1999-06-23</t>
  </si>
  <si>
    <t>QV350 S215r 1983</t>
  </si>
  <si>
    <t>0                      QV 0350000S  215r        1983</t>
  </si>
  <si>
    <t>Resistance to beta-lactam antibiotics : new challenges from old enzymes / Christine C. Sanders.</t>
  </si>
  <si>
    <t>Sanders, Christine C.</t>
  </si>
  <si>
    <t>Kalamazoo, MI : Upjohn Co., c1983.</t>
  </si>
  <si>
    <t>1999-10-12</t>
  </si>
  <si>
    <t>QV 350 W111a 1983</t>
  </si>
  <si>
    <t>0                      QV 0350000W  111a        1983</t>
  </si>
  <si>
    <t>Antibiotic choice : the importance of colonisation resistance / Dirk van der Waaij.</t>
  </si>
  <si>
    <t>Waaij, Dirk van der, 1931-</t>
  </si>
  <si>
    <t>Chichester ; New York : Research Studies Press, c1983.</t>
  </si>
  <si>
    <t>Antimicrobial chemotherapy series ; 5</t>
  </si>
  <si>
    <t>QV 350 W439a 1951</t>
  </si>
  <si>
    <t>0                      QV 0350000W  439a        1951</t>
  </si>
  <si>
    <t>Antibiotic therapy / by Henry Welch and Charles N. Lewis ; Foreword by Chester S. Keefer.</t>
  </si>
  <si>
    <t>Welch, Henry, 1902-</t>
  </si>
  <si>
    <t>Washington : Arundel Press, 1951</t>
  </si>
  <si>
    <t>1997-09-28</t>
  </si>
  <si>
    <t>QV 350 WH38p 1954</t>
  </si>
  <si>
    <t>0                      QV 0350000WH 38p         1954</t>
  </si>
  <si>
    <t>Principles and practice of antibiotic therapy / by Henry Welch in collaboration with [Alson E.] Braley [and others] Specially edited by Félix Martí-Ibáñex.</t>
  </si>
  <si>
    <t>New York : Medical Encyclopedia, Inc.; distributed by Blakiston Co., 1954.</t>
  </si>
  <si>
    <t>QV 354 A127r 1945</t>
  </si>
  <si>
    <t>0                      QV 0354000A  127r        1945</t>
  </si>
  <si>
    <t>A review of the present information concerning penicillin / Abbott Laboratories.</t>
  </si>
  <si>
    <t>Abbott Laboratories.</t>
  </si>
  <si>
    <t>North Chicago, IL. : Abbott Laboratories, c1945.</t>
  </si>
  <si>
    <t>1945</t>
  </si>
  <si>
    <t>Completely rev. ed.</t>
  </si>
  <si>
    <t>2000-01-22</t>
  </si>
  <si>
    <t>QV 354 F598p 1946</t>
  </si>
  <si>
    <t>0                      QV 0354000F  598p        1946</t>
  </si>
  <si>
    <t>Penicillin : its practical application / under the general editorship of Professor Sir Alexander Fleming.</t>
  </si>
  <si>
    <t>Fleming, Alexander, Sir, 1881-1955 editor.</t>
  </si>
  <si>
    <t>Philadelphia : Blakiston, 1946.</t>
  </si>
  <si>
    <t>QV 354 H564p 1945</t>
  </si>
  <si>
    <t>0                      QV 0354000H  564p        1945</t>
  </si>
  <si>
    <t>Penicillin and other antibiotic agents / by Wallace E. Herrell.</t>
  </si>
  <si>
    <t>Herrell, Wallace Edgar.</t>
  </si>
  <si>
    <t>Philadelphia : Saunders, c1945.</t>
  </si>
  <si>
    <t>QV 354 N277c 1949</t>
  </si>
  <si>
    <t>0                      QV 0354000N  277c        1949</t>
  </si>
  <si>
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</si>
  <si>
    <t>National Academy of Sciences (U.S.).</t>
  </si>
  <si>
    <t>Princeton : Princeton Univ. Press, c1949.</t>
  </si>
  <si>
    <t>1949</t>
  </si>
  <si>
    <t>QV 354 S541e 1982</t>
  </si>
  <si>
    <t>0                      QV 0354000S  541e        1982</t>
  </si>
  <si>
    <t>The enchanted ring : the untold story of penicillin / John C. Sheehan.</t>
  </si>
  <si>
    <t>Sheehan, John C.</t>
  </si>
  <si>
    <t>Cambridge, Mass. : MIT Press, c1982.</t>
  </si>
  <si>
    <t>2004-02-07</t>
  </si>
  <si>
    <t>QV 354 S654p 1951</t>
  </si>
  <si>
    <t>0                      QV 0354000S  654p        1951</t>
  </si>
  <si>
    <t>Penicillin decade, 1941-1951 : sensitizations and toxicities / by Lawrence Weld Smith and Ann Dolan Walker.</t>
  </si>
  <si>
    <t>Smith, Lawrence Weld.</t>
  </si>
  <si>
    <t>Washington : Arundel Press, c1951.</t>
  </si>
  <si>
    <t>QV 600 A681p 1979</t>
  </si>
  <si>
    <t>0                      QV 0600000A  681p        1979</t>
  </si>
  <si>
    <t>Poisoning : toxicology, symptoms, treatments / by Jay M. Arena.</t>
  </si>
  <si>
    <t>Arena, Jay M.</t>
  </si>
  <si>
    <t>Springfield, Ill. : Thomas, c1979.</t>
  </si>
  <si>
    <t>American lecture series ; no. 1019 : American lectures in living chemistry</t>
  </si>
  <si>
    <t>1988-12-30</t>
  </si>
  <si>
    <t>QV600 C335 2001</t>
  </si>
  <si>
    <t>0                      QV 0600000C  335         2001</t>
  </si>
  <si>
    <t>Casarett and Doull's toxicology : the basic science of poisons / editor, Curtis D. Klaassen.</t>
  </si>
  <si>
    <t>New York : McGraw-Hill Medical Pub. Division, c2001.</t>
  </si>
  <si>
    <t>2006-11-08</t>
  </si>
  <si>
    <t>2001-12-19</t>
  </si>
  <si>
    <t>QV 600 C639 1983</t>
  </si>
  <si>
    <t>0                      QV 0600000C  639         1983</t>
  </si>
  <si>
    <t>Clinical management of poisoning and drug overdose / [editors] Lester M. Haddad, James Winchester.</t>
  </si>
  <si>
    <t>Philadelphia : Saunders, c1983.</t>
  </si>
  <si>
    <t>1996-10-09</t>
  </si>
  <si>
    <t>1988-03-30</t>
  </si>
  <si>
    <t>QV 600 C641 1976</t>
  </si>
  <si>
    <t>0                      QV 0600000C  641         1976</t>
  </si>
  <si>
    <t>Clinical toxicology of commercial products : acute poisoning / Robert E. Gosselin ... [et al.].</t>
  </si>
  <si>
    <t>Baltimore : Williams &amp; Wilkins, 1976.</t>
  </si>
  <si>
    <t>1987-12-04</t>
  </si>
  <si>
    <t>QV 600 C6415 1982</t>
  </si>
  <si>
    <t>0                      QV 0600000C  6415        1982</t>
  </si>
  <si>
    <t>Clinical toxicology of drugs : principles and practice / [edited by] Vasilios A. Skoutakis.</t>
  </si>
  <si>
    <t>Philadelphia : Lea &amp; Febiger, c1982.</t>
  </si>
  <si>
    <t>2001-10-18</t>
  </si>
  <si>
    <t>QV 600 D771h 1983 c.2</t>
  </si>
  <si>
    <t>0                      QV 0600000D  771h        1983                                        c.2</t>
  </si>
  <si>
    <t>Handbook of poisoning : prevention, diagnosis, &amp; treatment / Robert H. Dreisbach.</t>
  </si>
  <si>
    <t>c.2*</t>
  </si>
  <si>
    <t>Los Altos, Calif. : Lange Medical Publications, c1983.</t>
  </si>
  <si>
    <t>1997-08-30</t>
  </si>
  <si>
    <t>QV600 G618 2002</t>
  </si>
  <si>
    <t>0                      QV 0600000G  618         2002</t>
  </si>
  <si>
    <t>Goldfrank's toxicologic emergencies / [edited by] Lewis R. Goldfrank ... [et al.] ; with 116 contributors.</t>
  </si>
  <si>
    <t>New York : McGraw-Hill Medical Pub. Division, c2002.</t>
  </si>
  <si>
    <t>2005-07-28</t>
  </si>
  <si>
    <t>QV600 G6785p 1994</t>
  </si>
  <si>
    <t>0                      QV 0600000G  6785p       1994</t>
  </si>
  <si>
    <t>Principles of clinical toxicology / Thomas A. Gossel, J. Douglas Bricker.</t>
  </si>
  <si>
    <t>Gossel, Thomas A.</t>
  </si>
  <si>
    <t>New York : Raven Press, c1994.</t>
  </si>
  <si>
    <t>2010-10-06</t>
  </si>
  <si>
    <t>2002-07-02</t>
  </si>
  <si>
    <t>QV 600 I61n 1998</t>
  </si>
  <si>
    <t>0                      QV 0600000I  61n         1998</t>
  </si>
  <si>
    <t>Natural antioxidants and anticarcinogens in nutrition, health and disease / edited by J.T. Kumpulainen, J.T. Salonen.</t>
  </si>
  <si>
    <t>International Conference on Natural Antioxidants and Anticarcinogens in Nutrition, Health and Disease (2nd : 1998 : Helsinki, Finland)</t>
  </si>
  <si>
    <t>Cambridge : Royal Society of Chemistry, c1999.</t>
  </si>
  <si>
    <t>Special publication ; no. 240</t>
  </si>
  <si>
    <t>2001-03-06</t>
  </si>
  <si>
    <t>1999-09-30</t>
  </si>
  <si>
    <t>QV 600 L863e 1978</t>
  </si>
  <si>
    <t>0                      QV 0600000L  863e        1978</t>
  </si>
  <si>
    <t>Essentials of toxicology / Ted A. Loomis.</t>
  </si>
  <si>
    <t>Loomis, Ted A.</t>
  </si>
  <si>
    <t>Philadelphia : Lea &amp; Febiger, 1978.</t>
  </si>
  <si>
    <t>-- 3d ed. --</t>
  </si>
  <si>
    <t>1995-01-25</t>
  </si>
  <si>
    <t>QV 600 M437t 1975</t>
  </si>
  <si>
    <t>0                      QV 0600000M  437t        1975</t>
  </si>
  <si>
    <t>Treatment of common acute poisonings / Henry Matthew, Alexander A.H. Lawson ; foreword by Sir Derrick Dunlop.</t>
  </si>
  <si>
    <t>Matthew, Henry.</t>
  </si>
  <si>
    <t>Edinburgh ; New York : Churchill Livingstone ; New York : distributed by Longman, 1975.</t>
  </si>
  <si>
    <t>1996-10-15</t>
  </si>
  <si>
    <t>1988-08-23</t>
  </si>
  <si>
    <t>QV600 M489 1997</t>
  </si>
  <si>
    <t>0                      QV 0600000M  489         1997</t>
  </si>
  <si>
    <t>Ellenhorn's medical toxicology : diagnosis and treatment of human poisoning / Matthew J. Ellenhorn ... [et al.]. ; technical associate, Sylvia Syma Ellenhorn.</t>
  </si>
  <si>
    <t>Baltimore : Williams &amp; Wilkins, c1997.</t>
  </si>
  <si>
    <t>2009-07-13</t>
  </si>
  <si>
    <t>QV 600 O33t 1981</t>
  </si>
  <si>
    <t>0                      QV 0600000O  33t         1981</t>
  </si>
  <si>
    <t>Toxicants and drugs : kinetics and dynamics / Ellen J. O'Flaherty.</t>
  </si>
  <si>
    <t>O'Flaherty, Ellen J., 1936-</t>
  </si>
  <si>
    <t>QV600 O85c 1981</t>
  </si>
  <si>
    <t>0                      QV 0600000O  85c         1981</t>
  </si>
  <si>
    <t>Case studies in poisoning : a compilation of 50 clinical studies / Shirley K. Osterhout.</t>
  </si>
  <si>
    <t>Osterhout, Shirley K.</t>
  </si>
  <si>
    <t>2003-08-27</t>
  </si>
  <si>
    <t>QV 600 P754 1983</t>
  </si>
  <si>
    <t>0                      QV 0600000P  754         1983</t>
  </si>
  <si>
    <t>Poisoning &amp; overdose / Marc J. Bayer, Barry H. Rumack, editors.</t>
  </si>
  <si>
    <t>Rockville, Md. : Aspen Systems Corp., c1983.</t>
  </si>
  <si>
    <t>QV 600 P754 1990</t>
  </si>
  <si>
    <t>0                      QV 0600000P  754         1990</t>
  </si>
  <si>
    <t>Poisoning &amp; drug overdose / San Francisco Bay Area Regional Poison Control Center ; edited by Kent R. Olson ... [et al.].</t>
  </si>
  <si>
    <t>Norwalk, CT : Appleton &amp; Lange, c1990.</t>
  </si>
  <si>
    <t>A Lange clinical manual.</t>
  </si>
  <si>
    <t>1990-11-27</t>
  </si>
  <si>
    <t>QV600 P957 2001</t>
  </si>
  <si>
    <t>0                      QV 0600000P  957         2001</t>
  </si>
  <si>
    <t>Principles and methods of toxicology / edited by A. Wallace Hayes.</t>
  </si>
  <si>
    <t>Philadelphia, PA : Taylor &amp; Francis, c2001.</t>
  </si>
  <si>
    <t>2004-09-24</t>
  </si>
  <si>
    <t>2003-04-14</t>
  </si>
  <si>
    <t>QV 600 S464 1984</t>
  </si>
  <si>
    <t>0                      QV 0600000S  464         1984</t>
  </si>
  <si>
    <t>The Selection of doses in chronic toxicity/carcinogenicity studies : age associated (geriatric) pathology, its impact on long-term toxicity studies / edited by H.C. Grice.</t>
  </si>
  <si>
    <t>New York : Springer-Verlag, c1984.</t>
  </si>
  <si>
    <t>Current issues in toxicology</t>
  </si>
  <si>
    <t>1995-07-14</t>
  </si>
  <si>
    <t>QV 600 T434c 1972</t>
  </si>
  <si>
    <t>0                      QV 0600000T  434c        1972</t>
  </si>
  <si>
    <t>Clinical toxicology / Clinton H. Thienes, Thomas J. Haley.</t>
  </si>
  <si>
    <t>Thienes, Clinton H. (Clinton Hobart), 1896-1976.</t>
  </si>
  <si>
    <t>Philadelphia : Lea &amp; Febiger, c1972.</t>
  </si>
  <si>
    <t>QV 600 T7535 1984</t>
  </si>
  <si>
    <t>0                      QV 0600000T  7535        1984</t>
  </si>
  <si>
    <t>Toxic emergencies / edited by William Hanson, Jr.</t>
  </si>
  <si>
    <t>New York : Churchill Livingstone, c1984.</t>
  </si>
  <si>
    <t>Clinics in emergency medicine ; 5</t>
  </si>
  <si>
    <t>1988-09-28</t>
  </si>
  <si>
    <t>QV 600 T75436 1990</t>
  </si>
  <si>
    <t>0                      QV 0600000T  75436       1990</t>
  </si>
  <si>
    <t>Goldfrank's toxicologic emergencies / editors, Lewis R. Goldfrank ... [et al.].</t>
  </si>
  <si>
    <t>Toxicologic emergencies.</t>
  </si>
  <si>
    <t>Norwalk, Conn. : Appleton &amp; Lange, c1990.</t>
  </si>
  <si>
    <t>QV 600 T755 1981 v.1</t>
  </si>
  <si>
    <t>0                      QV 0600000T  755         1981                                        v.1</t>
  </si>
  <si>
    <t>Toxicology : principles and practice : Volume 1 / edited by Andrew L. Reeves.</t>
  </si>
  <si>
    <t>1993-02-26</t>
  </si>
  <si>
    <t>QV 600 T7552 1990</t>
  </si>
  <si>
    <t>0                      QV 0600000T  7552        1990</t>
  </si>
  <si>
    <t>Toxic interactions / edited by Robin S. Goldstein, William R. Hewitt, Jerry B. Hook.</t>
  </si>
  <si>
    <t>San Diego : Academic Press, c1990.</t>
  </si>
  <si>
    <t>1991-01-23</t>
  </si>
  <si>
    <t>1990-11-14</t>
  </si>
  <si>
    <t>QV 600 T755d 1987</t>
  </si>
  <si>
    <t>0                      QV 0600000T  755d        1987</t>
  </si>
  <si>
    <t>Toxicological and immunological aspects of drug metabolism and environmental chemicals : Symposium Hotel Schloss Fuschl, Austria, 1st-4th November, 1987 / editors: Ronald W. Estabrook ... [et al.]</t>
  </si>
  <si>
    <t>Stuttgart ; New York : F.K. Schattauer Verlag, c1988.</t>
  </si>
  <si>
    <t>Symposia medica Hoechst ; 22</t>
  </si>
  <si>
    <t>1989-06-28</t>
  </si>
  <si>
    <t>QV601 F583a 2001</t>
  </si>
  <si>
    <t>0                      QV 0601000F  583a        2001</t>
  </si>
  <si>
    <t>Antidotes / Robert J. Flanagan, Alison L. Jones ; with a section on antidotes and chemical warfare by Timothy C. Marrs and Robert L. Maynard.</t>
  </si>
  <si>
    <t>Flanagan, Robert James.</t>
  </si>
  <si>
    <t>2003-12-23</t>
  </si>
  <si>
    <t>2003-12-22</t>
  </si>
  <si>
    <t>QV 602 T7545 1983</t>
  </si>
  <si>
    <t>0                      QV 0602000T  7545        1983</t>
  </si>
  <si>
    <t>Toxicity testing : new approaches and applications in human risk assessment / editor-in-chief, A.P. Li ; associate editors, T.L. Blank ... [et al.].</t>
  </si>
  <si>
    <t>QV 605 T755</t>
  </si>
  <si>
    <t>0                      QV 0605000T  755</t>
  </si>
  <si>
    <t>The Toxic substances list / Herbert E. Christensen, editor ... [et al.] ; prepared for the National Institute for Occupational Safety and Health by Tracor Jitco, inc.</t>
  </si>
  <si>
    <t>New York : Commerce Clearing House, 1973.</t>
  </si>
  <si>
    <t>1973 ed.</t>
  </si>
  <si>
    <t>CCH employment safety and health guide : special report ; Nov. 7, 1973</t>
  </si>
  <si>
    <t>1989-03-21</t>
  </si>
  <si>
    <t>QV 610 H236 1979</t>
  </si>
  <si>
    <t>0                      QV 0610000H  236         1979</t>
  </si>
  <si>
    <t>Handbook on the toxicology of metals / edited by Lars Friberg, Gunnar F. Nordberg, and Velimir B. Vouk.</t>
  </si>
  <si>
    <t>Amsterdam ; New York : Elsevier/North-Holland Biomedical Press ; New York : sole distributors for the U.S.A. and Canada, 1979, c1978.</t>
  </si>
  <si>
    <t>QV638 A6527 2006</t>
  </si>
  <si>
    <t>0                      QV 0638000A  6527        2006</t>
  </si>
  <si>
    <t>Applied pharmacokinetics &amp; pharmacodynamics : principles of therapeutic drug monitoring / editors, Michael E. Burton ... [et al.].</t>
  </si>
  <si>
    <t>Baltimore : Lippincott Williams &amp; Wilkins, c2006.</t>
  </si>
  <si>
    <t>2007-05-17</t>
  </si>
  <si>
    <t>QV 662 W784p 1920</t>
  </si>
  <si>
    <t>0                      QV 0662000W  784p        1920</t>
  </si>
  <si>
    <t>Collected studies on the pathology of war gas poisoning : from the Department of Pathology and Bacteriology, Medical Science Section, Chemical Warfare Service, under the direction of M.C. Winternitz.</t>
  </si>
  <si>
    <t>Winternitz, Milton Charles, 1885-1959.</t>
  </si>
  <si>
    <t>New Haven : Yale University Press, 1920.</t>
  </si>
  <si>
    <t>1920</t>
  </si>
  <si>
    <t>2007-08-16</t>
  </si>
  <si>
    <t>QV 663 H236 2009</t>
  </si>
  <si>
    <t>0                      QV 0663000H  236         2009</t>
  </si>
  <si>
    <t>Handbook of toxicology of chemical warfare agents / edited by Ramesh C. Gupta.</t>
  </si>
  <si>
    <t>London : Academic Press, 2009.</t>
  </si>
  <si>
    <t>QV663 R586 2004</t>
  </si>
  <si>
    <t>0                      QV 0663000R  586         2004</t>
  </si>
  <si>
    <t>Riot control agents : issues in toxicology, safety, and health / edited by Eugene J. Olajos and Woodhall Stopford.</t>
  </si>
  <si>
    <t>Boca Raton, Fla. : CRC Press, c2004.</t>
  </si>
  <si>
    <t>2005-02-01</t>
  </si>
  <si>
    <t>2005-01-14</t>
  </si>
  <si>
    <t>QV 663 W145g 1942</t>
  </si>
  <si>
    <t>0                      QV 0663000W  145g        1942</t>
  </si>
  <si>
    <t>Gas warfare : the chemical weapon, its use, and protection against it / by Alden H. Waitt.</t>
  </si>
  <si>
    <t>Waitt, Alden Harry, 1892-1981.</t>
  </si>
  <si>
    <t>New York : Duell, Sloan &amp; Pearce, c1943, c1942.</t>
  </si>
  <si>
    <t>1943</t>
  </si>
  <si>
    <t>1995-03-21</t>
  </si>
  <si>
    <t>QV 704 A641c 1975</t>
  </si>
  <si>
    <t>0                      QV 0704000A  641c        1975</t>
  </si>
  <si>
    <t>Clinical pharmacy handbook for patient counseling : one of the pharmacist's principal responsibilities / by Scott E. Apelgren, Brandt Rowles.</t>
  </si>
  <si>
    <t>Apelgren, Scott E.</t>
  </si>
  <si>
    <t>Hamilton, Ill. : Drug Intelligence Publications, c1975.</t>
  </si>
  <si>
    <t>2000-09-03</t>
  </si>
  <si>
    <t>QV 704 B649c 1972</t>
  </si>
  <si>
    <t>0                      QV 0704000B  649c        1972</t>
  </si>
  <si>
    <t>Clinical pharmacy practice / edited by Charles W. Blissitt, O. Lynn Webb, Walter F. Stanaszek.</t>
  </si>
  <si>
    <t>Blissitt, Charles W.</t>
  </si>
  <si>
    <t>Philadelphia : Lea &amp; Febiger, 1972.</t>
  </si>
  <si>
    <t>1996-03-21</t>
  </si>
  <si>
    <t>QV 704 C641 1984</t>
  </si>
  <si>
    <t>0                      QV 0704000C  641         1984</t>
  </si>
  <si>
    <t>Clinical pharmacology / edited by Ronald H. Girdwood</t>
  </si>
  <si>
    <t>London : Baillière Tindall, c1984.</t>
  </si>
  <si>
    <t>25th ed.</t>
  </si>
  <si>
    <t>QV 704 I59 1981t</t>
  </si>
  <si>
    <t>0                      QV 0704000I  59          1981t</t>
  </si>
  <si>
    <t>Topics in pharmaceutical sciences : proceedings of the 41st International Congress of Pharmaceutical Sciences of F.I.P., held in Vienna, Austria, September 7-11, 1981 / editors, D.D. Breimer, P. Speiser.</t>
  </si>
  <si>
    <t>International Congress of Pharmaceutical Sciences (41st : 1981 : Vienna, Austria)</t>
  </si>
  <si>
    <t>Amsterdam ; New York : Elsevier/North-Holland Biomedical Press, 1981.</t>
  </si>
  <si>
    <t>QV 704 J52c 1966</t>
  </si>
  <si>
    <t>0                      QV 0704000J  52c         1966</t>
  </si>
  <si>
    <t>Clinical pharmacy : a text for dispensing pharmacy / Glenn L. Jenkins, Glen J. Sperandio, Clifton J. Latiolais.</t>
  </si>
  <si>
    <t>Jenkins, Glenn L. (Glenn Llewellyn), 1898-1979.</t>
  </si>
  <si>
    <t>New York : McGraw-Hill, 1966.</t>
  </si>
  <si>
    <t>1991-11-14</t>
  </si>
  <si>
    <t>QV 704 L985p 1949</t>
  </si>
  <si>
    <t>0                      QV 0704000L  985p        1949</t>
  </si>
  <si>
    <t>Textbook of pharmaceutical compounding and dispensing / edited by Rufus A. Lyman and Joseph B. Sprowls.</t>
  </si>
  <si>
    <t>Lyman, Rufus Ashley, 1875-1957.</t>
  </si>
  <si>
    <t>Philadelphia : Lippincott, c1955.</t>
  </si>
  <si>
    <t>1989-03-23</t>
  </si>
  <si>
    <t>QV 704 M293 1972</t>
  </si>
  <si>
    <t>0                      QV 0704000M  293         1972</t>
  </si>
  <si>
    <t>Manual for pharmacy technicians / Jane M. Durgin, Charles O. Ward, Zachary I. Hanan.</t>
  </si>
  <si>
    <t>-- St. Louis : Mosby, 1972.</t>
  </si>
  <si>
    <t>2001-09-26</t>
  </si>
  <si>
    <t>QV 704 P468 1977</t>
  </si>
  <si>
    <t>0                      QV 0704000P  468         1977</t>
  </si>
  <si>
    <t>Perspectives on medicines in society / edited by Albert I. Wertheimer, Patricia J Bush.</t>
  </si>
  <si>
    <t>-- Hamilton, Il. : Drug Intelligence Publications, c1977.</t>
  </si>
  <si>
    <t>2006-09-22</t>
  </si>
  <si>
    <t>QV 704 R362d 1972</t>
  </si>
  <si>
    <t>0                      QV 0704000R  362d        1972</t>
  </si>
  <si>
    <t>Drug information : literature review of needs, resources, and services / [Prepared] for Pharmacy-Related Programs Branch, National Center for Health Services Research and Development.</t>
  </si>
  <si>
    <t>Reilly, Mary-Jo, 1964-</t>
  </si>
  <si>
    <t>-- Rockville, Md. : U.S. Health Services and Mental Health Administration, [1972]</t>
  </si>
  <si>
    <t>DHEW publication ; no. (HSM) 72-3013</t>
  </si>
  <si>
    <t>1996-12-18</t>
  </si>
  <si>
    <t>QV 704 R388p 1917</t>
  </si>
  <si>
    <t>0                      QV 0704000R  388p        1917</t>
  </si>
  <si>
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</si>
  <si>
    <t>Remington, Joseph P. (Joseph Price), 1847-1918.</t>
  </si>
  <si>
    <t>Philadelphia ; London : J.B. Lippincott Co., c1917.</t>
  </si>
  <si>
    <t>1917</t>
  </si>
  <si>
    <t>6th ed. By Joseph P. Remington ... assisted by E. Fullerton Cook ... with over eight hundred illustrations.</t>
  </si>
  <si>
    <t>1988-11-16</t>
  </si>
  <si>
    <t>QV 704 R388p 1985</t>
  </si>
  <si>
    <t>0                      QV 0704000R  388p        1985</t>
  </si>
  <si>
    <t>Remington's Pharmaceutical sciences / Alfonso R. Gennaro, editor and chairman of the editorial board.</t>
  </si>
  <si>
    <t>Easton, Pa. : Mack, c1985.</t>
  </si>
  <si>
    <t>17th ed.</t>
  </si>
  <si>
    <t>2000-07-26</t>
  </si>
  <si>
    <t>QV 704 R388p 1990</t>
  </si>
  <si>
    <t>0                      QV 0704000R  388p        1990</t>
  </si>
  <si>
    <t>Remington's pharmaceutical sciences / Alfonso Rl Gennaro, editor and chairman of the editorial board.</t>
  </si>
  <si>
    <t>Easton, Pa. : Mack Publishing Co. c1990.</t>
  </si>
  <si>
    <t>18th ed.</t>
  </si>
  <si>
    <t>2002-10-27</t>
  </si>
  <si>
    <t>QV 704 S771p 1963</t>
  </si>
  <si>
    <t>0                      QV 0704000S  771p        1963</t>
  </si>
  <si>
    <t>Prescription pharmacy : dosage formulation and pharmaceutical adjuncts.</t>
  </si>
  <si>
    <t>Sprowls, Joseph Barnett, editor.</t>
  </si>
  <si>
    <t>Philadelphia : Lippincott, c1963.</t>
  </si>
  <si>
    <t>QV 704 W499p 1974</t>
  </si>
  <si>
    <t>0                      QV 0704000W  499p        1974</t>
  </si>
  <si>
    <t>Pharmacy practice : social and behavioral aspects / edited, with introductions, by Albert I. Wertheimer and Mickey C. Smith.</t>
  </si>
  <si>
    <t>Wertheimer, Albert I., compiler.</t>
  </si>
  <si>
    <t>Baltimore : University Park Press, 1974.</t>
  </si>
  <si>
    <t>1988-03-22</t>
  </si>
  <si>
    <t>QV 704.3 T367p 1979</t>
  </si>
  <si>
    <t>0                      QV 0704300T  367p        1979</t>
  </si>
  <si>
    <t>Pharmacy management for students and practitioners / C. Patrick Tharp, Pedro J. Lecca.</t>
  </si>
  <si>
    <t>Tharp, C. Patrick (Charles Patrick), 1939-</t>
  </si>
  <si>
    <t>Saint Louis : Mosby, 1979.</t>
  </si>
  <si>
    <t>-- 2d ed. --</t>
  </si>
  <si>
    <t>1990-11-29</t>
  </si>
  <si>
    <t>QV 709 P467 1984</t>
  </si>
  <si>
    <t>0                      QV 0709000P  467         1984</t>
  </si>
  <si>
    <t>Perspectives in pharmacy : a series of addresses given at the University of Minnesota, College of Pharmacy, 1983-1984 / edited by Albert I. Wertheimer and Noreen L. Suntrup.</t>
  </si>
  <si>
    <t>Minneapolis, Minn. : College of Pharmacy, University of Minnesota, [1984?]</t>
  </si>
  <si>
    <t>mnu</t>
  </si>
  <si>
    <t>1995-01-24</t>
  </si>
  <si>
    <t>QV 711 AA1 A6s 1995</t>
  </si>
  <si>
    <t>0                      QV 0711000AA 1                  A  6s          1995</t>
  </si>
  <si>
    <t>The spirit of voluntarism : a legacy of commitment and contribution : the United States pharmacopeia 1820-1995 / by Lee Anderson and Gregory J. Higby.</t>
  </si>
  <si>
    <t>Anderson, Lee.</t>
  </si>
  <si>
    <t>Rockville, Md. : United States Pharmacopeial Convention, c1995.</t>
  </si>
  <si>
    <t>1996-06-07</t>
  </si>
  <si>
    <t>1996-03-20</t>
  </si>
  <si>
    <t>QV 711 AA1 C911p 1989</t>
  </si>
  <si>
    <t>0                      QV 0711000AA 1                  C  911p        1989</t>
  </si>
  <si>
    <t>The Pharmaceutical Manufacturers Association : the first 30 years / by William C. Cray.</t>
  </si>
  <si>
    <t>Cray, William C.</t>
  </si>
  <si>
    <t>Washington, D.C. : Pharmaceutical Manufacturers Association, [1989].</t>
  </si>
  <si>
    <t>1990-01-20</t>
  </si>
  <si>
    <t>QV 711 AA1 K56s 1987</t>
  </si>
  <si>
    <t>0                      QV 0711000AA 1                  K  56s         1987</t>
  </si>
  <si>
    <t>A selection of primary sources for the history of pharmacy in the United States : books and trade catalogs from the colonial period to 1940 / by Nydia M. King.</t>
  </si>
  <si>
    <t>King, Nydia M.</t>
  </si>
  <si>
    <t>Madison, Wis. : American Institute of the History of Pharmacy, 1987, c1985.</t>
  </si>
  <si>
    <t>Fischelis publication on recent history and trends of pharmacy ; 2nd</t>
  </si>
  <si>
    <t>QV 711 AA1 L716m 1987</t>
  </si>
  <si>
    <t>0                      QV 0711000AA 1                  L  716m        1987</t>
  </si>
  <si>
    <t>Medical science and medical industry : the formation of the American pharmaceutical industry / Jonathan Liebenau.</t>
  </si>
  <si>
    <t>Liebenau, Jonathan.</t>
  </si>
  <si>
    <t>Baltimore : Johns Hopkins University Press, c1987.</t>
  </si>
  <si>
    <t>2002-01-06</t>
  </si>
  <si>
    <t>1988-04-26</t>
  </si>
  <si>
    <t>QV 711 F471 1931</t>
  </si>
  <si>
    <t>0                      QV 0711000F  471         1931</t>
  </si>
  <si>
    <t>Fighting disease with drugs : the story of pharmacy : a symposium / edited by John C. Krantz, jr. ; with an introduction by James H. Beal.</t>
  </si>
  <si>
    <t>Baltimore : The Williams &amp; Wilkins company, c1931.</t>
  </si>
  <si>
    <t>|||</t>
  </si>
  <si>
    <t>2007-03-20</t>
  </si>
  <si>
    <t>QV 711 FA1 T7p 1964</t>
  </si>
  <si>
    <t>0                      QV 0711000FA 1                  T  7p          1964</t>
  </si>
  <si>
    <t>Pharmacy in history.</t>
  </si>
  <si>
    <t>Trease, George Edward, 1902-1986.</t>
  </si>
  <si>
    <t>London : Baillière, Tindall and Cox, [1964]</t>
  </si>
  <si>
    <t>2007-02-20</t>
  </si>
  <si>
    <t>QV 711 R281c 1973</t>
  </si>
  <si>
    <t>0                      QV 0711000R  281c        1973</t>
  </si>
  <si>
    <t>Circa instans / C.B. Rea and J. Rea.</t>
  </si>
  <si>
    <t>Rea, C. B.</t>
  </si>
  <si>
    <t>txu</t>
  </si>
  <si>
    <t>QV 711 S587m 1941</t>
  </si>
  <si>
    <t>0                      QV 0711000S  587m        1941</t>
  </si>
  <si>
    <t>Magic in a bottle / by Milton Silverman.</t>
  </si>
  <si>
    <t>Silverman, Milton, 1910-1997.</t>
  </si>
  <si>
    <t>New York : The Macmillan Company, 1941.</t>
  </si>
  <si>
    <t>1941</t>
  </si>
  <si>
    <t>QV 711.1 I61 1940</t>
  </si>
  <si>
    <t>0                      QV 0711100I  61          1940</t>
  </si>
  <si>
    <t>Introductory essays on the history of pharmacy / selected and arranged by John Joseph Corcoran.</t>
  </si>
  <si>
    <t>Minneapolis, Minn. : Burgess Publishing Co., 1940.</t>
  </si>
  <si>
    <t>1940</t>
  </si>
  <si>
    <t>QV 722 P5789q 1995</t>
  </si>
  <si>
    <t>0                      QV 0722000P  5789q       1995</t>
  </si>
  <si>
    <t>1995 Physicians' genRx : the complete drug reference.</t>
  </si>
  <si>
    <t>Riverside, CT : Denniston Publ. Inc., c1995.</t>
  </si>
  <si>
    <t>1995-12-12</t>
  </si>
  <si>
    <t>1995-01-18</t>
  </si>
  <si>
    <t>QV 735 C641 1993</t>
  </si>
  <si>
    <t>0                      QV 0735000C  641         1993</t>
  </si>
  <si>
    <t>Clinical clerkship manual / edited by Larry E. Boh.</t>
  </si>
  <si>
    <t>Vancouver, Wash. : Applied Therapeutics, c1993.</t>
  </si>
  <si>
    <t>xxc</t>
  </si>
  <si>
    <t>2005-10-08</t>
  </si>
  <si>
    <t>QV 735 P5365 2001</t>
  </si>
  <si>
    <t>0                      QV 0735000P  5365        2001</t>
  </si>
  <si>
    <t>Pharmacy practice manual : a guide to the clinical experience / editor, Larry E. Boh, consulting editor, Lloyd Y. Young.</t>
  </si>
  <si>
    <t>Philadelphia : Lippincott Williams &amp; Wilkins, 2001.</t>
  </si>
  <si>
    <t>2009-02-16</t>
  </si>
  <si>
    <t>2003-01-10</t>
  </si>
  <si>
    <t>QV 735 S472g 2000</t>
  </si>
  <si>
    <t>0                      QV 0735000S  472g        2000</t>
  </si>
  <si>
    <t>Geriatric dosage handbook : including monitoring, clinical recommendations, and OBRA guidelines / Todd P. Selma, Judith L. Beizer, Martin D. Higbee.</t>
  </si>
  <si>
    <t>Semla, Todd P.</t>
  </si>
  <si>
    <t>Hudson, OH : Lexi-Comp Inc., c2000.</t>
  </si>
  <si>
    <t>5th. ed.</t>
  </si>
  <si>
    <t>2003-01-21</t>
  </si>
  <si>
    <t>2000-02-04</t>
  </si>
  <si>
    <t>QV 735 T473p 1998</t>
  </si>
  <si>
    <t>0                      QV 0735000T  473p        1998</t>
  </si>
  <si>
    <t>A practical guide to contemporary pharmacy practice / Judith E. Thompson.</t>
  </si>
  <si>
    <t>Thompson, Judith E.</t>
  </si>
  <si>
    <t>2006-01-08</t>
  </si>
  <si>
    <t>QV 736 B574f 1981</t>
  </si>
  <si>
    <t>0                      QV 0736000B  574f        1981</t>
  </si>
  <si>
    <t>The future of pharmaceuticals : the changing environment for the new drugs / Clement Bezold.</t>
  </si>
  <si>
    <t>Bezold, Clement.</t>
  </si>
  <si>
    <t>QV 736 B747c 1993</t>
  </si>
  <si>
    <t>0                      QV 0736000B  747c        1993</t>
  </si>
  <si>
    <t>The contribution of pharmaceutical companies : what's at stake for America : a report / prepared by The Boston Consulting Group, Inc.</t>
  </si>
  <si>
    <t>Boston Consulting Group.</t>
  </si>
  <si>
    <t>[Boston] : Boston Consuting Group, [1993]</t>
  </si>
  <si>
    <t>QV 736 C319f 1991</t>
  </si>
  <si>
    <t>0                      QV 0736000C  319f        1991</t>
  </si>
  <si>
    <t>Financial management for pharmacists : a decision-making approach / Norman V. Carroll.</t>
  </si>
  <si>
    <t>Carroll, Norman V.</t>
  </si>
  <si>
    <t>1990-10-26</t>
  </si>
  <si>
    <t>QV 736 C456 1993</t>
  </si>
  <si>
    <t>0                      QV 0736000C  456         1993</t>
  </si>
  <si>
    <t>The Changing environment for U.S. pharmaceuticals : the role of pharmaceutical companies in a systems approach to health care : a report / prepared by The Boston Consulting Group, Inc. ; sponsored by Pfizer Inc.</t>
  </si>
  <si>
    <t>[Boston] : The Group, 1993.</t>
  </si>
  <si>
    <t>1993-06-03</t>
  </si>
  <si>
    <t>QV 736 G273m</t>
  </si>
  <si>
    <t>0                      QV 0736000G  273m</t>
  </si>
  <si>
    <t>Medicines for the masses : a window on pharmaceutical industry / by Madan Gaur.</t>
  </si>
  <si>
    <t>Gaur, Madan, 1933-</t>
  </si>
  <si>
    <t>Bombay : Press &amp; P.R. Services, [1981?].</t>
  </si>
  <si>
    <t xml:space="preserve">ii </t>
  </si>
  <si>
    <t>QV 736 L439r 2003</t>
  </si>
  <si>
    <t>0                      QV 0736000L  439r        2003</t>
  </si>
  <si>
    <t>The real drug abusers / Fred Leavitt.</t>
  </si>
  <si>
    <t>Lanham, Md. : Rowman &amp; Littlefield Publishers, c2003.</t>
  </si>
  <si>
    <t>QV 736 M339p 1980</t>
  </si>
  <si>
    <t>0                      QV 0736000M  339p        1980</t>
  </si>
  <si>
    <t>Principles of pharmaceutical accounting / Francis A. Marino, Edward J. Zabloski, Colman M. Herman.</t>
  </si>
  <si>
    <t>Marino, Francis A.</t>
  </si>
  <si>
    <t>Philadelphia : Lea &amp; Febiger, c1980.</t>
  </si>
  <si>
    <t>1989-11-04</t>
  </si>
  <si>
    <t>QV 736 N717d 1941</t>
  </si>
  <si>
    <t>0                      QV 0736000N  717d        1941</t>
  </si>
  <si>
    <t>Drug store management / by Herman C. Nolen and Harold H. Maynard.</t>
  </si>
  <si>
    <t>Nolen, Herman C. (Herman Christian), 1901-1993.</t>
  </si>
  <si>
    <t>New York : McGraw-Hill, c1941.</t>
  </si>
  <si>
    <t>1988-12-07</t>
  </si>
  <si>
    <t>QV736 P142p 2005</t>
  </si>
  <si>
    <t>0                      QV 0736000P  142p        2005</t>
  </si>
  <si>
    <t>Pharmaceutical product strategy : using dynamic modeling for effective brand planning / Mark Paich, Corey Peck, and Jason Valant.</t>
  </si>
  <si>
    <t>Paich, Mark.</t>
  </si>
  <si>
    <t>Boca Raton, FL : Interpharm/CRC 2004.</t>
  </si>
  <si>
    <t>2006-02-07</t>
  </si>
  <si>
    <t>2006-02-06</t>
  </si>
  <si>
    <t>QV 736 P361d 1926</t>
  </si>
  <si>
    <t>0                      QV 0736000P  361d        1926</t>
  </si>
  <si>
    <t>Drug store business methods : a text-book on commercial pharmacy / by Charles W. Pearson.</t>
  </si>
  <si>
    <t>Pearson, Charles W.</t>
  </si>
  <si>
    <t>Philadelphia ; New York : Lea &amp; Febiger, 1926.</t>
  </si>
  <si>
    <t>1926</t>
  </si>
  <si>
    <t>QV 736 P536 1990</t>
  </si>
  <si>
    <t>0                      QV 0736000P  536         1990</t>
  </si>
  <si>
    <t>The Pharmaceutical industry : transition to the 1990s : speeches from the Annual Meeting, 1990.</t>
  </si>
  <si>
    <t>Washington, D.C. : Pharmaceutical Manufacturers Association, [1990]</t>
  </si>
  <si>
    <t>1990-10-09</t>
  </si>
  <si>
    <t>QV 736 P5365 1982</t>
  </si>
  <si>
    <t>0                      QV 0736000P  5365        1982</t>
  </si>
  <si>
    <t>Pharmaceuticals in the year 2000 : the changing context for drug R&amp;D / Clement Bezold, editor.</t>
  </si>
  <si>
    <t>Alexandria, Va. : Institute for Alternative Futures, c1983.</t>
  </si>
  <si>
    <t>QV 736 S655p 1968</t>
  </si>
  <si>
    <t>0                      QV 0736000S  655p        1968</t>
  </si>
  <si>
    <t>Principles of pharmaceutical marketing / Mickey C. Smith ; with chapters contributed by Max A. Fern ... [et al.].</t>
  </si>
  <si>
    <t>Smith, Mickey C.</t>
  </si>
  <si>
    <t>Philadelphia : Lea &amp; Febiger, 1968.</t>
  </si>
  <si>
    <t>2000-11-10</t>
  </si>
  <si>
    <t>QV 736 S655pa 1981</t>
  </si>
  <si>
    <t>0                      QV 0736000S  655pa       1981</t>
  </si>
  <si>
    <t>Pharmacy, drugs, and medical care / Mickey C. Smith, David A. Knapp.</t>
  </si>
  <si>
    <t>Baltimore : Williams &amp; Wilkins, c1981.</t>
  </si>
  <si>
    <t>1995-10-06</t>
  </si>
  <si>
    <t>QV 736 S756m 1994</t>
  </si>
  <si>
    <t>0                      QV 0736000S  756m        1994</t>
  </si>
  <si>
    <t>Multinational pharmaceutical companies : principles and practices / Bert Spilker.</t>
  </si>
  <si>
    <t>Spilker, Bert.</t>
  </si>
  <si>
    <t>1994-06-08</t>
  </si>
  <si>
    <t>QV 737 D257p 1967</t>
  </si>
  <si>
    <t>0                      QV 0737000D  257p        1967</t>
  </si>
  <si>
    <t>The Pharmaceutical industry : a personal study : a medical, economic, and political survey of the world-wide pharmaceutical industry.</t>
  </si>
  <si>
    <t>Davies, Wyndham, 1926-1984</t>
  </si>
  <si>
    <t>Oxford ; New York : Pergamon Press, 1967.</t>
  </si>
  <si>
    <t>1988-03-27</t>
  </si>
  <si>
    <t>QV737 D475p 2005</t>
  </si>
  <si>
    <t>0                      QV 0737000D  475p        2005</t>
  </si>
  <si>
    <t>Pharmacy management : essentials for all practice settings / Shane P. Desselle and David P. Zgarrick.</t>
  </si>
  <si>
    <t>Desselle, Shane P.</t>
  </si>
  <si>
    <t>New York : McGraw-Hill, c2005.</t>
  </si>
  <si>
    <t>2009-05-02</t>
  </si>
  <si>
    <t>QV 737 M2648 1999</t>
  </si>
  <si>
    <t>0                      QV 0737000M  2648        1999</t>
  </si>
  <si>
    <t>Managed care pharmacy practice / [edited by] Robert P. Navarro.</t>
  </si>
  <si>
    <t>Gaithersburg, Md. : Aspen Publishers, c1999.</t>
  </si>
  <si>
    <t>2005-09-13</t>
  </si>
  <si>
    <t>1999-08-26</t>
  </si>
  <si>
    <t>QV 737 M265 1999</t>
  </si>
  <si>
    <t>0                      QV 0737000M  265         1999</t>
  </si>
  <si>
    <t>Managed care pharmacy : principles and practice / Albert I. Wertheimer, Robert Navarro, editors.</t>
  </si>
  <si>
    <t>New York : Pharmaceutical Products Press, c1999.</t>
  </si>
  <si>
    <t>2006-12-05</t>
  </si>
  <si>
    <t>1999-09-09</t>
  </si>
  <si>
    <t>QV 737 P534 1996</t>
  </si>
  <si>
    <t>0                      QV 0737000P  534         1996</t>
  </si>
  <si>
    <t>Pharmaceutical care / edited by Calvin H. Knowlton &amp; Richard P. Penna.</t>
  </si>
  <si>
    <t>New York : Chapman &amp; Hall, c1996.</t>
  </si>
  <si>
    <t>2002-09-27</t>
  </si>
  <si>
    <t>2000-03-30</t>
  </si>
  <si>
    <t>QV737 P534 2003</t>
  </si>
  <si>
    <t>0                      QV 0737000P  534         2003</t>
  </si>
  <si>
    <t>Pharmaceutical care / [edited by] Calvin H. Knowlton, Richard P. Penna.</t>
  </si>
  <si>
    <t>Bethesda, MD : American Society of Health-System Pharmacists, c2003.</t>
  </si>
  <si>
    <t>QV 737 P5345 1991</t>
  </si>
  <si>
    <t>0                      QV 0737000P  5345        1991</t>
  </si>
  <si>
    <t>Pharmacy and the U.S. health care system / Jack E. Fincham and Albert I. Wertheimer, editors.</t>
  </si>
  <si>
    <t>Binghamton, NY : Pharmaceutical Products Press, c1991.</t>
  </si>
  <si>
    <t>QV737 P5345 2005</t>
  </si>
  <si>
    <t>0                      QV 0737000P  5345        2005</t>
  </si>
  <si>
    <t>Pharmacy and the U.S. health care system / Michael Ira Smith, Albert I. Wertheimer, Jack E. Fincham, editors.</t>
  </si>
  <si>
    <t>New York : Pharmaceutical Products Press, c2005.</t>
  </si>
  <si>
    <t>2010-09-08</t>
  </si>
  <si>
    <t>QV737 P8949 2003</t>
  </si>
  <si>
    <t>0                      QV 0737000P  8949        2003</t>
  </si>
  <si>
    <t>A practical guide to pharmaceutical care / John P. Rovers ... [et al.], editors.</t>
  </si>
  <si>
    <t>Washington, D.C. : American Pharmaceutical Association, 2003.</t>
  </si>
  <si>
    <t>2007-11-14</t>
  </si>
  <si>
    <t>QV 737 P8949 2007</t>
  </si>
  <si>
    <t>0                      QV 0737000P  8949        2007</t>
  </si>
  <si>
    <t>A practical guide to pharmaceutical care : a clinical skills primer / John P. Rovers, Jay D. Currie.</t>
  </si>
  <si>
    <t>Rovers, John P.</t>
  </si>
  <si>
    <t>Washington, D.C. : American Pharmacists Association, c2007.</t>
  </si>
  <si>
    <t>QV 738 AA1 P5e 1921</t>
  </si>
  <si>
    <t>0                      QV 0738000AA 1                  P  5e          1921</t>
  </si>
  <si>
    <t>Epitome of the Pharmacopeia of the United States and the National formulary, with comments / prepared for the use of physicians under authorization of the Council on Pharmacy and Chemistry of the American Medical Association.</t>
  </si>
  <si>
    <t>Chicago : American Medical Association, 1921.</t>
  </si>
  <si>
    <t>1921</t>
  </si>
  <si>
    <t>QV 738 H754 1992</t>
  </si>
  <si>
    <t>0                      QV 0738000H  754         1992</t>
  </si>
  <si>
    <t>The Homoeopathic pharmacopoeia of the United States revision service.</t>
  </si>
  <si>
    <t>V. 5</t>
  </si>
  <si>
    <t>[Washington, D.C.] : Homoeopathic Pharmacopoeia Convention of the United States, c1988-</t>
  </si>
  <si>
    <t>1993-11-22</t>
  </si>
  <si>
    <t>1994-06-16</t>
  </si>
  <si>
    <t>1993-10-11</t>
  </si>
  <si>
    <t>V. 4</t>
  </si>
  <si>
    <t>QV 738 O58 1991</t>
  </si>
  <si>
    <t>0                      QV 0738000O  58          1991</t>
  </si>
  <si>
    <t>170 years of USP : the end of the beginning : proceedings of the United States Pharmacopeial Convention, Inc.</t>
  </si>
  <si>
    <t>Rockville, MD : United States Pharmacopeial Convention, Inc., Board of Trustees, c1991.</t>
  </si>
  <si>
    <t>QV 740 AA1 A17</t>
  </si>
  <si>
    <t>0                      QV 0740000AA 1                  A  17</t>
  </si>
  <si>
    <t>AMA drug evaluations / evaluated by the AMA Council on Drugs.</t>
  </si>
  <si>
    <t>Chicago : Americal Medical Association, 1971.</t>
  </si>
  <si>
    <t>AMA drug evaluations / prepared by the AMA Department of Drugs in cooperation with the American Society for Clinical Pharmacology and Therapeutics.</t>
  </si>
  <si>
    <t>American Medical Association. Department of Drugs.</t>
  </si>
  <si>
    <t>Chicago : The Association, 1980.</t>
  </si>
  <si>
    <t>Littleton, Mass. : Publishing Sciences Group, 1977.</t>
  </si>
  <si>
    <t>1988-03-26</t>
  </si>
  <si>
    <t>QV 740 AA1 A17 1986</t>
  </si>
  <si>
    <t>0                      QV 0740000AA 1                  A  17          1986</t>
  </si>
  <si>
    <t>AMA drug evaluations.</t>
  </si>
  <si>
    <t>American Medical Association. Division of Drugs and Technology.</t>
  </si>
  <si>
    <t>Chicago, Ill. : American Medical Association, c1986.</t>
  </si>
  <si>
    <t>6th ed. / prepared by the American Medical Association, Department of Drugs, Division of Drugs and Technology in cooperation with the American Society for Clinical Pharmacology and Therapeutics.</t>
  </si>
  <si>
    <t>QV 740 AA1 A53a 1987</t>
  </si>
  <si>
    <t>0                      QV 0740000AA 1                  A  53a         1987</t>
  </si>
  <si>
    <t>American Hospital Formulary Service drug information 87.</t>
  </si>
  <si>
    <t>Bethesda : American Society of Hospital Pharmacists, c1987.</t>
  </si>
  <si>
    <t>1989-12-04</t>
  </si>
  <si>
    <t>1987-09-29</t>
  </si>
  <si>
    <t>QV 740 AA1 A5n 1957</t>
  </si>
  <si>
    <t>0                      QV 0740000AA 1                  A  5n          1957</t>
  </si>
  <si>
    <t>New and nonofficial remedies, 1957.</t>
  </si>
  <si>
    <t>American Medical Association.</t>
  </si>
  <si>
    <t>Philadelphia : Lippincott, c1957.</t>
  </si>
  <si>
    <t>1992-11-06</t>
  </si>
  <si>
    <t>1992-11-04</t>
  </si>
  <si>
    <t>QV 740 AA1 B4d 1941</t>
  </si>
  <si>
    <t>0                      QV 0740000AA 1                  B  4d          1941</t>
  </si>
  <si>
    <t>Drug and specialty formulas : a selected collection of tested, modern and practical formulas for medicinal, household, industrial, commercial, veterinary, cosmetic and food specialties / by Emil J. Belanger.</t>
  </si>
  <si>
    <t>Belanger, Emil J.</t>
  </si>
  <si>
    <t>Brooklyn : Chemical Publ., c1941.</t>
  </si>
  <si>
    <t>QV 740 AN1 W637a 1990-91</t>
  </si>
  <si>
    <t>0                      QV 0740000AN 1                  W  637a        1990                  -91</t>
  </si>
  <si>
    <t>AMI Saint Joseph Hospital formulary, 1990-1991 / William D. Wickman.</t>
  </si>
  <si>
    <t>Wickman, William D.</t>
  </si>
  <si>
    <t>Omaha : Dept. of Pharmaceutical Services, Saint Joseph Hospital, 1990.</t>
  </si>
  <si>
    <t>10th ed. / Donald R. Fagan.</t>
  </si>
  <si>
    <t>1990-10-18</t>
  </si>
  <si>
    <t>QV 740 AN1 W637s 1991-92</t>
  </si>
  <si>
    <t>0                      QV 0740000AN 1                  W  637s        1991                  -92</t>
  </si>
  <si>
    <t>Saint Joseph Hospital formulary, 1991-1992 / William D. Wickman.</t>
  </si>
  <si>
    <t>Omaha : Dept. of Pharmaceutical Services, Saint Joseph Hospital, 1991.</t>
  </si>
  <si>
    <t>11th ed. / Colleen M. Currie.</t>
  </si>
  <si>
    <t>1991-08-23</t>
  </si>
  <si>
    <t>QV 740 FA1 P536 1994</t>
  </si>
  <si>
    <t>0                      QV 0740000FA 1                  P  536         1994</t>
  </si>
  <si>
    <t>The pharmaceutical codex : principles and practice of pharmaceutics / editor Walter Lund.</t>
  </si>
  <si>
    <t>London : Pharmaceutical Press, c1994.</t>
  </si>
  <si>
    <t>1994-06-22</t>
  </si>
  <si>
    <t>QV740 P964 2003</t>
  </si>
  <si>
    <t>0                      QV 0740000P  964         2003</t>
  </si>
  <si>
    <t>Profiles of drug substances, excipients and related methodology / edited by Harry G. Brittain.</t>
  </si>
  <si>
    <t>Amsterdam : Boston : Elsevier Science, c2003.</t>
  </si>
  <si>
    <t>2004-03-10</t>
  </si>
  <si>
    <t>2004-03-02</t>
  </si>
  <si>
    <t>QV 744 C737 1990</t>
  </si>
  <si>
    <t>0                      QV 0744000C  737         1990</t>
  </si>
  <si>
    <t>Comprehensive medicinal chemistry : the rational design, mechanistic study &amp; therapeutic applications of chemical compounds / chairman of the editorial board, Corwin Hansch ; joint executive editors, Peter G. Sammes, John B. Taylor.</t>
  </si>
  <si>
    <t>Oxford ; New York : Pergamon Press, c1990.</t>
  </si>
  <si>
    <t>1995-11-20</t>
  </si>
  <si>
    <t>2005-11-18</t>
  </si>
  <si>
    <t>1990-06-21</t>
  </si>
  <si>
    <t>V. 6</t>
  </si>
  <si>
    <t>1996-03-22</t>
  </si>
  <si>
    <t>1997-03-20</t>
  </si>
  <si>
    <t>1997-04-10</t>
  </si>
  <si>
    <t>QV 744 D7943 1993</t>
  </si>
  <si>
    <t>0                      QV 0744000D  7943        1993</t>
  </si>
  <si>
    <t>Drug stereochemistry : analytical methods and pharmacology / edited by Irving W. Wainer.</t>
  </si>
  <si>
    <t>Clinical pharmacology ; 18</t>
  </si>
  <si>
    <t>2001-12-06</t>
  </si>
  <si>
    <t>QV 744 F796p 1981</t>
  </si>
  <si>
    <t>0                      QV 0744000F  796p        1981</t>
  </si>
  <si>
    <t>Principles of medicinal chemistry / edited by William O. Foye.</t>
  </si>
  <si>
    <t>Foye, William O.</t>
  </si>
  <si>
    <t>Philadelphia : Lea &amp; Febiger, 1981.</t>
  </si>
  <si>
    <t>2003-09-07</t>
  </si>
  <si>
    <t>QV 744 I58 1974</t>
  </si>
  <si>
    <t>0                      QV 0744000I  58          1974</t>
  </si>
  <si>
    <t>Inorganic medicinal and pharmaceutical chemistry [by] John H. Block [et al.]</t>
  </si>
  <si>
    <t>Philadelphia : Lea &amp; Febiger, 1974.</t>
  </si>
  <si>
    <t>1994-08-18</t>
  </si>
  <si>
    <t>QV 744 J52c 1957</t>
  </si>
  <si>
    <t>0                      QV 0744000J  52c         1957</t>
  </si>
  <si>
    <t>The chemistry of organic medicinal products / by Glenn L. Jenkins.</t>
  </si>
  <si>
    <t>New York : Wiley, c1957.</t>
  </si>
  <si>
    <t>2004-09-13</t>
  </si>
  <si>
    <t>QV 744 L554r 1992</t>
  </si>
  <si>
    <t>0                      QV 0744000L  554r        1992</t>
  </si>
  <si>
    <t>Review of organic functional groups : introduction to medicinal organic chemistry / Thomas L. Lemke.</t>
  </si>
  <si>
    <t>Lemke, Thomas L.</t>
  </si>
  <si>
    <t>2010-05-19</t>
  </si>
  <si>
    <t>1995-06-22</t>
  </si>
  <si>
    <t>QV 744 P957 1995</t>
  </si>
  <si>
    <t>0                      QV 0744000P  957         1995</t>
  </si>
  <si>
    <t>Principles of medicinal chemistry / [edited by] William O. Foye, Thomas L. Lemke, David A. Williams.</t>
  </si>
  <si>
    <t>Baltimore ; Williams &amp; Wilkins, c1995.</t>
  </si>
  <si>
    <t>2010-12-04</t>
  </si>
  <si>
    <t>QV 744 R845a 1991 v.2</t>
  </si>
  <si>
    <t>0                      QV 0744000R  845a        1991                                        v.2</t>
  </si>
  <si>
    <t>Pharmaceutical chemistry / H.J. Roth and A. Kleemann, in collaboration with T. Beisswenger ; translated by M.D. Cooke ; special consultant, P.G. Sammes.</t>
  </si>
  <si>
    <t>Roth, Hermann J.</t>
  </si>
  <si>
    <t>Chichester : Ellis Horwood ; New York : Halstead Press, c1991.</t>
  </si>
  <si>
    <t>v. 2: Ellis Horwood series in pharmaceutical technology</t>
  </si>
  <si>
    <t>2006-08-03</t>
  </si>
  <si>
    <t>QV 744 W754 1991</t>
  </si>
  <si>
    <t>0                      QV 0744000W  754         1991</t>
  </si>
  <si>
    <t>Wilson and Gisvold's textbook of organic medicinal and pharmaceutical chemistry.</t>
  </si>
  <si>
    <t>9th ed. / edited by Jaime N. Delgado and William A. Remers ; 17 contributors.</t>
  </si>
  <si>
    <t>QV 748 D794 1989</t>
  </si>
  <si>
    <t>0                      QV 0748000D  794         1989</t>
  </si>
  <si>
    <t>Drug regimen review : a process guide for pharmacists.</t>
  </si>
  <si>
    <t>Philadelphia : Geriatric Pharmacy Institute, Philadelphia College of Pharmacy and Science ; Arlington, VA. : American Society of Consultant Pharmacists, 1989.</t>
  </si>
  <si>
    <t>1999-06-04</t>
  </si>
  <si>
    <t>QV 748 G778c 2006</t>
  </si>
  <si>
    <t>0                      QV 0748000G  778c        2006</t>
  </si>
  <si>
    <t>Calculate with confidence / Deborah C. Morris Gray.</t>
  </si>
  <si>
    <t>Morris, Deborah Gray.</t>
  </si>
  <si>
    <t>St. Louis, Mo. ; London : Elsevier Mosby, 2006.</t>
  </si>
  <si>
    <t>2006-08-25</t>
  </si>
  <si>
    <t>QV 748 K26c 1988</t>
  </si>
  <si>
    <t>0                      QV 0748000K  26c         1988</t>
  </si>
  <si>
    <t>Clinical calculations : with applications to general and specialty areas / Joyce L. Kee, Sally M. Marshall.</t>
  </si>
  <si>
    <t>Philadelphia : Saunders, c1988.</t>
  </si>
  <si>
    <t>2000-10-03</t>
  </si>
  <si>
    <t>1989-08-08</t>
  </si>
  <si>
    <t>QV 748 M489d 1988</t>
  </si>
  <si>
    <t>0                      QV 0748000M  489d        1988</t>
  </si>
  <si>
    <t>Drug dosage calculations : a guide for clinical practice / Geraldine Ann Medici.</t>
  </si>
  <si>
    <t>Medici, Geraldine Ann.</t>
  </si>
  <si>
    <t>1995-08-06</t>
  </si>
  <si>
    <t>1988-08-05</t>
  </si>
  <si>
    <t>QV 748 M694 1987</t>
  </si>
  <si>
    <t>0                      QV 0748000M  694         1987</t>
  </si>
  <si>
    <t>Medical dosage calculations / June Looby Olsen ... [et al.].</t>
  </si>
  <si>
    <t>Menlo Park, Calif. : Addison-Wesley Pub. Co., Health Sciences Division, c1987.</t>
  </si>
  <si>
    <t>2001-09-07</t>
  </si>
  <si>
    <t>QV 748 N937 1988</t>
  </si>
  <si>
    <t>0                      QV 0748000N  937         1988</t>
  </si>
  <si>
    <t>Novel drug delivery and its therapeutic application / edited by L.F. Prescott and W.S. Nimmo.</t>
  </si>
  <si>
    <t>Chichester ; New York : Wiley, c1989.</t>
  </si>
  <si>
    <t>1990-03-23</t>
  </si>
  <si>
    <t>QV 748 P365h 1978</t>
  </si>
  <si>
    <t>0                      QV 0748000P  365h        1978</t>
  </si>
  <si>
    <t>How to calculate drug dosages : a ready reference and textbook / by Angela R. Pecherer and Suzanne L. Vertuno ; consulting editor, Jill Burk.</t>
  </si>
  <si>
    <t>Carver, Angela R.</t>
  </si>
  <si>
    <t>Oradell, N.J. : Medical Economics Co., c1978.</t>
  </si>
  <si>
    <t>2002-04-06</t>
  </si>
  <si>
    <t>QV 748 P594d 1990</t>
  </si>
  <si>
    <t>0                      QV 0748000P  594d        1990</t>
  </si>
  <si>
    <t>Dosage calculations / Gloria D. Pickar.</t>
  </si>
  <si>
    <t>Pickar, Gloria D., 1946-</t>
  </si>
  <si>
    <t>QV 748 P594d 2004</t>
  </si>
  <si>
    <t>0                      QV 0748000P  594d        2004</t>
  </si>
  <si>
    <t>Australia ; Clifton Park, NY : Thomson/Delmar Learning, c2004.</t>
  </si>
  <si>
    <t>QV 748 P594d 2008</t>
  </si>
  <si>
    <t>0                      QV 0748000P  594d        2008</t>
  </si>
  <si>
    <t>Dosage calculations / Gloria D. Pickar, Amy Pickar Abernethy.</t>
  </si>
  <si>
    <t>Clifton Park, NY : Thomson Delmar Learning, c2008.</t>
  </si>
  <si>
    <t>2008-10-03</t>
  </si>
  <si>
    <t>2008-10-02</t>
  </si>
  <si>
    <t>QV 748 R496m 1993</t>
  </si>
  <si>
    <t>0                      QV 0748000R  496m        1993</t>
  </si>
  <si>
    <t>Medications and mathematics for the nurse / Jane Rice, Esther G. Skelley.</t>
  </si>
  <si>
    <t>Albany, N.Y. : Delmar Publishers, c1993.</t>
  </si>
  <si>
    <t>1993-09-03</t>
  </si>
  <si>
    <t>QV 748 S432a 1957</t>
  </si>
  <si>
    <t>0                      QV 0748000S  432a        1957</t>
  </si>
  <si>
    <t>Scoville's The art of compounding / by Glenn L. Jenkins [and others]</t>
  </si>
  <si>
    <t>Scoville, Wilbur L. (Wilbur Lincoln), 1865-1942.</t>
  </si>
  <si>
    <t>New York : Blakiston Division, 1957.</t>
  </si>
  <si>
    <t>1995-04-26</t>
  </si>
  <si>
    <t>QV 748 W644d 1992</t>
  </si>
  <si>
    <t>0                      QV 0748000W  644d        1992</t>
  </si>
  <si>
    <t>Dosages and calculations / by Richard Wiederhold.</t>
  </si>
  <si>
    <t>Wiederhold, Richard.</t>
  </si>
  <si>
    <t>Orlando, FL : Prentice Hall, c1992.</t>
  </si>
  <si>
    <t>1999-06-25</t>
  </si>
  <si>
    <t>QV 752 D782c 1928</t>
  </si>
  <si>
    <t>0                      QV 0752000D  782c        1928</t>
  </si>
  <si>
    <t>The chemistry of crude drugs : an elementary textbook for students of pharmacognosy / by John Edmund Driver and George Edward Trease.</t>
  </si>
  <si>
    <t>Driver, John Edmund, 1900-</t>
  </si>
  <si>
    <t>London ; New York : Longmans, Green, c1928.</t>
  </si>
  <si>
    <t>1928</t>
  </si>
  <si>
    <t>2000-04-04</t>
  </si>
  <si>
    <t>QV 752 H918 1992</t>
  </si>
  <si>
    <t>0                      QV 0752000H  918         1992</t>
  </si>
  <si>
    <t>Human medicinal agents from plants / [editors], A. Douglas Kinghorn, Manuel F. Balandrin.</t>
  </si>
  <si>
    <t>Washington, D.C. : American Chemical Society, c1993.</t>
  </si>
  <si>
    <t>ACS symposium series, 0097-6156 ; 534</t>
  </si>
  <si>
    <t>1994-04-21</t>
  </si>
  <si>
    <t>QV 752 R183m 1959</t>
  </si>
  <si>
    <t>0                      QV 0752000R  183m        1959</t>
  </si>
  <si>
    <t>Modern pharmacognosy.</t>
  </si>
  <si>
    <t>Ramstad, Egil.</t>
  </si>
  <si>
    <t>New York : Blackiston Division, McGraw-Hill, 1959.</t>
  </si>
  <si>
    <t>1997-10-02</t>
  </si>
  <si>
    <t>QV 752 T984p 1981</t>
  </si>
  <si>
    <t>0                      QV 0752000T  984p        1981</t>
  </si>
  <si>
    <t>Pharmacognosy / Varro E. Tyler, Lynn R. Brady, James E. Robbers.</t>
  </si>
  <si>
    <t>Tyler, Varro E.</t>
  </si>
  <si>
    <t>Philadelphia : Lea &amp; Febiger, c1981.</t>
  </si>
  <si>
    <t>QV 766 E53n 1972</t>
  </si>
  <si>
    <t>0                      QV 0766000E  53n         1972</t>
  </si>
  <si>
    <t>Narcotic plants / William Emboden.</t>
  </si>
  <si>
    <t>Emboden, William A.</t>
  </si>
  <si>
    <t>London : Studio Vista, 1972.</t>
  </si>
  <si>
    <t>2006-09-18</t>
  </si>
  <si>
    <t>QV 766 K92g 1964</t>
  </si>
  <si>
    <t>0                      QV 0766000K  92g         1964</t>
  </si>
  <si>
    <t>Green medicine : the search for plants that heal.</t>
  </si>
  <si>
    <t>Kreig, Margaret.</t>
  </si>
  <si>
    <t>Chicago : Rand McNally, [1964]</t>
  </si>
  <si>
    <t>1997-10-10</t>
  </si>
  <si>
    <t>QV 766 S588m 1965</t>
  </si>
  <si>
    <t>0                      QV 0766000S  588m        1965</t>
  </si>
  <si>
    <t>Medicinal plant alkaloids : an introduction for pharmacy students / Stephen K. Sim.</t>
  </si>
  <si>
    <t>Sim, Stephen K.</t>
  </si>
  <si>
    <t>[Toronto] : University of Toronto Press, [1965]</t>
  </si>
  <si>
    <t>1988-11-15</t>
  </si>
  <si>
    <t>QV 766 S989p 1968</t>
  </si>
  <si>
    <t>0                      QV 0766000S  989p        1968</t>
  </si>
  <si>
    <t>Plants in the development of modern medicine / Edited by Tony Swain.</t>
  </si>
  <si>
    <t>Symposium "Plants in the Development of Modern Medicine" (1968 : Harvard University)</t>
  </si>
  <si>
    <t>Cambridge, Mass. : Harvard University Press, 1972.</t>
  </si>
  <si>
    <t>QV 766 T244p 1965</t>
  </si>
  <si>
    <t>0                      QV 0766000T  244p        1965</t>
  </si>
  <si>
    <t>Plant drugs that changed the world / by Norman Taylor ; with drawings by Margaret Cosgrove.</t>
  </si>
  <si>
    <t>Taylor, Norman, 1883-1967.</t>
  </si>
  <si>
    <t>New York : Dodd, Mead, c1965.</t>
  </si>
  <si>
    <t>QV 770 AA1 C775u 1963</t>
  </si>
  <si>
    <t>0                      QV 0770000AA 1                  C  775u        1963</t>
  </si>
  <si>
    <t>Using plants for healing : an American herbal.</t>
  </si>
  <si>
    <t>Coon, Nelson.</t>
  </si>
  <si>
    <t>[New York] : Hearthside Press, [1963]</t>
  </si>
  <si>
    <t>1999-09-15</t>
  </si>
  <si>
    <t>QV 770 JC6 H835p 1993</t>
  </si>
  <si>
    <t>0                      QV 0770000JC 6                  H  835p        1993</t>
  </si>
  <si>
    <t>The pharmacology of Chinese herbs / Kee Chang Huang.</t>
  </si>
  <si>
    <t>Huang, K. C. (Kee Chang), 1917-</t>
  </si>
  <si>
    <t>2004-09-01</t>
  </si>
  <si>
    <t>1993-06-25</t>
  </si>
  <si>
    <t>QV 771 D7942 1987</t>
  </si>
  <si>
    <t>0                      QV 0771000D  7942        1987</t>
  </si>
  <si>
    <t>Drug discovery and development / edited by Michael Williams and Jeffrey B. Malick.</t>
  </si>
  <si>
    <t>Clifton, N.J. : Humana Press, c1987.</t>
  </si>
  <si>
    <t>Contemporary biomedicine</t>
  </si>
  <si>
    <t>1995-03-07</t>
  </si>
  <si>
    <t>QV 771 G6465 1998</t>
  </si>
  <si>
    <t>0                      QV 0771000G  6465        1998</t>
  </si>
  <si>
    <t>Good clinical practice : standard operating procedures for clinical researchers / edited by Josef Kolman, Paul Meng, and Graeme Scott.</t>
  </si>
  <si>
    <t>Chichester, England ; New York : J. Wiley &amp; Sons, c1998.</t>
  </si>
  <si>
    <t>2003-10-15</t>
  </si>
  <si>
    <t>1999-07-09</t>
  </si>
  <si>
    <t>QV771 G946 2000</t>
  </si>
  <si>
    <t>0                      QV 0771000G  946         2000</t>
  </si>
  <si>
    <t>A guide to clinical drug research / edited by Adam Cohen and John Posner.</t>
  </si>
  <si>
    <t>Dordrecht ; Boston : Kluwer Academic Publishers, 2000.</t>
  </si>
  <si>
    <t>2002-12-10</t>
  </si>
  <si>
    <t>QV 771 H236 1995</t>
  </si>
  <si>
    <t>0                      QV 0771000H  236         1995</t>
  </si>
  <si>
    <t>Handbook of workplace drug testing / edited by Ray H. Liu, Bruce A. Goldberger.</t>
  </si>
  <si>
    <t>Washington, DC : AACC Press, c1995.</t>
  </si>
  <si>
    <t>1998-03-22</t>
  </si>
  <si>
    <t>1996-04-03</t>
  </si>
  <si>
    <t>QV 771 M514c 1996</t>
  </si>
  <si>
    <t>0                      QV 0771000M  514c        1996</t>
  </si>
  <si>
    <t>Clinical trials dictionary : terminology and usage recommendations / Curtis L. Meinert.</t>
  </si>
  <si>
    <t>Meinert, Curtis L.</t>
  </si>
  <si>
    <t>Baltimore, Md. : The Johns Hopkins University; School of Hygiene and Public Health; Center for Clinical Trials, c1996.</t>
  </si>
  <si>
    <t>Edition 1.0, 1st printing</t>
  </si>
  <si>
    <t>1996-09-27</t>
  </si>
  <si>
    <t>QV 771 N53245 1993</t>
  </si>
  <si>
    <t>0                      QV 0771000N  53245       1993</t>
  </si>
  <si>
    <t>New technologies and concepts for reducing drug toxicities / edited by Harry Salem, Steven I. Baskin.</t>
  </si>
  <si>
    <t>QV 771 S525b 2006</t>
  </si>
  <si>
    <t>0                      QV 0771000S  525b        2006</t>
  </si>
  <si>
    <t>The body hunters : testing new drugs on the world's poorest patients / Sonia Shah.</t>
  </si>
  <si>
    <t>Shah, Sonia.</t>
  </si>
  <si>
    <t>New York : New Press : Distributed by W.W. Norton, 2006.</t>
  </si>
  <si>
    <t>2008-09-26</t>
  </si>
  <si>
    <t>QV 771 S562pa 1993</t>
  </si>
  <si>
    <t>0                      QV 0771000S  562pa       1993</t>
  </si>
  <si>
    <t>Practical handbook of sample size guidelines for clinical trials / Jonathan J. Shuster.</t>
  </si>
  <si>
    <t>Shuster, Jonathan J., 1943-</t>
  </si>
  <si>
    <t>IBM-compatible version.</t>
  </si>
  <si>
    <t>2001-10-17</t>
  </si>
  <si>
    <t>QV 771 S756ga 1987</t>
  </si>
  <si>
    <t>0                      QV 0771000S  756ga       1987</t>
  </si>
  <si>
    <t>Guide to planning and managing multiple clinical studies / Bert Spilker.</t>
  </si>
  <si>
    <t>1999-02-10</t>
  </si>
  <si>
    <t>QV 771 S797 1990</t>
  </si>
  <si>
    <t>0                      QV 0771000S  797         1990</t>
  </si>
  <si>
    <t>Statistical issues in drug research and development / edited by Karl E. Peace.</t>
  </si>
  <si>
    <t>Statistics, textbooks and monographs ; vol. 106.</t>
  </si>
  <si>
    <t>1992-07-14</t>
  </si>
  <si>
    <t>QV 772 A287h 1992</t>
  </si>
  <si>
    <t>0                      QV 0772000A  287h        1992</t>
  </si>
  <si>
    <t>Handbook of prescribing medications for geriatric patients / Judith C. Ahronheim.</t>
  </si>
  <si>
    <t>Ahronheim, Judith C.</t>
  </si>
  <si>
    <t>Boston : Little, Brown and Company, c1992.</t>
  </si>
  <si>
    <t>2001-08-17</t>
  </si>
  <si>
    <t>1992-08-06</t>
  </si>
  <si>
    <t>QV772 A968p 2003</t>
  </si>
  <si>
    <t>0                      QV 0772000A  968p        2003</t>
  </si>
  <si>
    <t>Prehospital providers' guide to medication / Alan J. Azzara ; medical consultant, Matthew Sleeth with contributions by Sarah Mosher Skolfield.</t>
  </si>
  <si>
    <t>Azzara, Alan J.</t>
  </si>
  <si>
    <t>St. Louis, Mo. : MosbyJems, 2003.</t>
  </si>
  <si>
    <t>QV 772 C737 1992</t>
  </si>
  <si>
    <t>0                      QV 0772000C  737         1992</t>
  </si>
  <si>
    <t>Compendium of pharmaceuticals and specialties / editor-in-chief, Carmen M.E. Krogh.</t>
  </si>
  <si>
    <t>Ottawa, Ont., Canada : Canadian Pharmaceutical Association, 1992.</t>
  </si>
  <si>
    <t>27th ed.</t>
  </si>
  <si>
    <t>1992-09-16</t>
  </si>
  <si>
    <t>QV 772 C976 1984-86</t>
  </si>
  <si>
    <t>0                      QV 0772000C  976         1984                                        -86</t>
  </si>
  <si>
    <t>Current drug handbook 1984-1986 / H. Robert Patterson, Edward A. Gustafson, Eleanor Sidor Sheridan.</t>
  </si>
  <si>
    <t>Philadelphia : W.B. Saunders, c1984.</t>
  </si>
  <si>
    <t>1994-04-28</t>
  </si>
  <si>
    <t>QV 772 H236 1969</t>
  </si>
  <si>
    <t>0                      QV 0772000H  236         1969</t>
  </si>
  <si>
    <t>Handbook of non-prescription drugs / George B. Griffenhagen and Linda L. Hawkins.</t>
  </si>
  <si>
    <t>Washington : American Pharmaceutical Association, [c1971]</t>
  </si>
  <si>
    <t>1971 ed.</t>
  </si>
  <si>
    <t>2010-03-08</t>
  </si>
  <si>
    <t>QV 772 H236 1973</t>
  </si>
  <si>
    <t>0                      QV 0772000H  236         1973</t>
  </si>
  <si>
    <t>Washington : American Pharmaceutical Association, [c1973]</t>
  </si>
  <si>
    <t>QV 772 L693n 1990</t>
  </si>
  <si>
    <t>0                      QV 0772000L  693n        1990</t>
  </si>
  <si>
    <t>Non-prescription drugs / Alain Li Wan Po.</t>
  </si>
  <si>
    <t>Li, Alain Wan Po.</t>
  </si>
  <si>
    <t>Oxford ; London : Blackwell Scientific, c1990.</t>
  </si>
  <si>
    <t>1998-12-06</t>
  </si>
  <si>
    <t>QV 772 L693o 1992</t>
  </si>
  <si>
    <t>0                      QV 0772000L  693o        1992</t>
  </si>
  <si>
    <t>OTC medications : symptoms and treatments of common illnesses / A. Li Wan Po and G. Li Wan Po.</t>
  </si>
  <si>
    <t>London : Blackwell Scientific, c1992.</t>
  </si>
  <si>
    <t>QV 772 P5789g 1992</t>
  </si>
  <si>
    <t>0                      QV 0772000P  5789g       1992</t>
  </si>
  <si>
    <t>Physicians' generix : the official drug reference of FDA prescribing information and therapeutic equivalents.</t>
  </si>
  <si>
    <t>[Smithtown, N.Y.] : Data Pharmaceutica Inc., c1992.</t>
  </si>
  <si>
    <t>1992-08-28</t>
  </si>
  <si>
    <t>1992-08-04</t>
  </si>
  <si>
    <t>QV 772 P5789q 1994</t>
  </si>
  <si>
    <t>0                      QV 0772000P  5789q       1994</t>
  </si>
  <si>
    <t>1994 Physicians' genRx : the complete drug reference.</t>
  </si>
  <si>
    <t>Smithtown, N.Y. : Data Pharmaceutica Inc., c1994.</t>
  </si>
  <si>
    <t>1993-11-19</t>
  </si>
  <si>
    <t>QV 772 P5789q 1996</t>
  </si>
  <si>
    <t>0                      QV 0772000P  5789q       1996</t>
  </si>
  <si>
    <t>Physicians genRx : the complete drug reference, 1996.</t>
  </si>
  <si>
    <t>St. Louis, MO : Mosby, c1996.</t>
  </si>
  <si>
    <t>2000-09-11</t>
  </si>
  <si>
    <t>QV772 P921n 2006</t>
  </si>
  <si>
    <t>0                      QV 0772000P  921n        2006</t>
  </si>
  <si>
    <t>Nonprescription product therapeutics / Walter Steven Pray.</t>
  </si>
  <si>
    <t>Pray, W. Steven.</t>
  </si>
  <si>
    <t>2009-03-04</t>
  </si>
  <si>
    <t>2006-03-02</t>
  </si>
  <si>
    <t>QV 772 S741 1990</t>
  </si>
  <si>
    <t>0                      QV 0772000S  741         1990</t>
  </si>
  <si>
    <t>Specialized drug delivery systems : manufacturing and production technology / edited by Praveen Tyle.</t>
  </si>
  <si>
    <t>Drugs and the pharmaceutical sciences ; v. 41</t>
  </si>
  <si>
    <t>1990-01-16</t>
  </si>
  <si>
    <t>QV 772 V649 1993</t>
  </si>
  <si>
    <t>0                      QV 0772000V  649         1993</t>
  </si>
  <si>
    <t>Vidal : 1993.</t>
  </si>
  <si>
    <t>Paris : OVP, c1993.</t>
  </si>
  <si>
    <t>69e éd.</t>
  </si>
  <si>
    <t>fre</t>
  </si>
  <si>
    <t xml:space="preserve">fr </t>
  </si>
  <si>
    <t>1993-07-16</t>
  </si>
  <si>
    <t>QV778 A427a 2002</t>
  </si>
  <si>
    <t>0                      QV 0778000A  427a        2002</t>
  </si>
  <si>
    <t>The art, science, and technology of pharmaceutical compounding / Loyd V. Allen, Jr.</t>
  </si>
  <si>
    <t>Allen, Loyd V., Jr.</t>
  </si>
  <si>
    <t>2004-09-28</t>
  </si>
  <si>
    <t>QV778 A652 2003</t>
  </si>
  <si>
    <t>0                      QV 0778000A  652         2003</t>
  </si>
  <si>
    <t>Applied physical pharmacy / editors, Mansoor M. Amiji, Beverly J. Sandmann.</t>
  </si>
  <si>
    <t>New York : McGraw-Hill, Medical Pub. Division, c2003.</t>
  </si>
  <si>
    <t>2007-03-08</t>
  </si>
  <si>
    <t>2003-06-24</t>
  </si>
  <si>
    <t>QV 778 B6167 1993</t>
  </si>
  <si>
    <t>0                      QV 0778000B  6167        1993</t>
  </si>
  <si>
    <t>Biotechnology and pharmacy / editors, John M. Pezzuto, Michael E. Johnson, Henri R. Manasse.</t>
  </si>
  <si>
    <t>New York : Chapman &amp; Hall, c1993.</t>
  </si>
  <si>
    <t>1993-06-15</t>
  </si>
  <si>
    <t>QV 778 H968p 1951</t>
  </si>
  <si>
    <t>0                      QV 0778000H  968p        1951</t>
  </si>
  <si>
    <t>Pharmaceutical dispensing : a textbook for students of pharmaceutical compounding and dispensing and a reference book for pharmacists.</t>
  </si>
  <si>
    <t>Husa, William J. (William John), 1896-1985.</t>
  </si>
  <si>
    <t>Iowa City : Distributed by Husa Bros.; 1951.</t>
  </si>
  <si>
    <t>iou</t>
  </si>
  <si>
    <t>QV 778 P957 1995</t>
  </si>
  <si>
    <t>0                      QV 0778000P  957         1995</t>
  </si>
  <si>
    <t>Principles of sterile product preparation / E. Clyde Buchanan ... [et al.].</t>
  </si>
  <si>
    <t>Bethesda, MD : American Society of Health-System Pharamacists, c1995.</t>
  </si>
  <si>
    <t>2004-10-30</t>
  </si>
  <si>
    <t>1998-09-17</t>
  </si>
  <si>
    <t>QV778 P957 2002</t>
  </si>
  <si>
    <t>0                      QV 0778000P  957         2002</t>
  </si>
  <si>
    <t>Bethesda, MD : American Society of Health-System Pharamacists, c2002.</t>
  </si>
  <si>
    <t>Rev. 1st ed.</t>
  </si>
  <si>
    <t>2008-06-10</t>
  </si>
  <si>
    <t>2004-01-23</t>
  </si>
  <si>
    <t>QV 778 T147m 1987</t>
  </si>
  <si>
    <t>0                      QV 0778000T  147m        1987</t>
  </si>
  <si>
    <t>Manual of pharmacologic calculations with computer programs / Ronald J. Tallarida, Rodney B. Murray.</t>
  </si>
  <si>
    <t>Tallarida, Ronald J.</t>
  </si>
  <si>
    <t>New York : Springer-Verlag, c1987.</t>
  </si>
  <si>
    <t>1993-01-23</t>
  </si>
  <si>
    <t>QV778 T396 2005</t>
  </si>
  <si>
    <t>0                      QV 0778000T  396         2005</t>
  </si>
  <si>
    <t>Theory and practice of contemporary pharmaceutics / edited by Tapash K. Ghosh, Bhaskara R. Jasti.</t>
  </si>
  <si>
    <t>Boca Raton : CRC Press, c2005.</t>
  </si>
  <si>
    <t>2009-11-18</t>
  </si>
  <si>
    <t>2005-03-02</t>
  </si>
  <si>
    <t>QV 778 T933s 1987</t>
  </si>
  <si>
    <t>0                      QV 0778000T  933s        1987</t>
  </si>
  <si>
    <t>Sterile dosage forms : their preparation and clinical application / Salvatore Turco, Robert E. King.</t>
  </si>
  <si>
    <t>Turco, Salvatore J.</t>
  </si>
  <si>
    <t>Philadelphia : Lea &amp; Febiger, c1987.</t>
  </si>
  <si>
    <t>2000-12-07</t>
  </si>
  <si>
    <t>QV 778 T933s 1994</t>
  </si>
  <si>
    <t>0                      QV 0778000T  933s        1994</t>
  </si>
  <si>
    <t>Sterile dosage forms : their preparation and clinical application / Salvatore Turco.</t>
  </si>
  <si>
    <t>2004-09-27</t>
  </si>
  <si>
    <t>QV 785 A618i 1990</t>
  </si>
  <si>
    <t>0                      QV 0785000A  618i        1990</t>
  </si>
  <si>
    <t>Pharmaceutical dosage forms and drug delivery systems / Howard C. Ansel, Nicholas G. Popovich.</t>
  </si>
  <si>
    <t>Ansel, Howard C., 1933-</t>
  </si>
  <si>
    <t>Philadelphia : Lea &amp; Febiger, c1990.</t>
  </si>
  <si>
    <t>2007-03-26</t>
  </si>
  <si>
    <t>QV 785 A618i 1999</t>
  </si>
  <si>
    <t>0                      QV 0785000A  618i        1999</t>
  </si>
  <si>
    <t>Pharmaceutical dosage forms and drug delivery systems / Howard C. Ansel, Loyd V. Allen, Jr., Nicholas G. Popovich.</t>
  </si>
  <si>
    <t>Philadelphia, Pa. : Lippincott-Williams &amp; Wilkins, c1999.</t>
  </si>
  <si>
    <t>2007-04-05</t>
  </si>
  <si>
    <t>1999-11-05</t>
  </si>
  <si>
    <t>QV 785 B6144 1990</t>
  </si>
  <si>
    <t>0                      QV 0785000B  6144        1990</t>
  </si>
  <si>
    <t>Bioadhesive drug delivery systems / editors, Vincent Lenaerts, Robert Gurny.</t>
  </si>
  <si>
    <t>Boca Raton, Fla. : CRC Press, c1990.</t>
  </si>
  <si>
    <t>QV 785 C7642 1989</t>
  </si>
  <si>
    <t>0                      QV 0785000C  7642        1989</t>
  </si>
  <si>
    <t>Controlled release of drugs : polymers and aggregate systems / edited by Morton Rosoff.</t>
  </si>
  <si>
    <t>New York, N.Y. : VCH Publishers ; Federal Republic of Germany : VCH Verlagsgesellschaft, c1989.</t>
  </si>
  <si>
    <t>1990-05-24</t>
  </si>
  <si>
    <t>QV 785 C951p 1952</t>
  </si>
  <si>
    <t>0                      QV 0785000C  951p        1952</t>
  </si>
  <si>
    <t>Pharmaceutical preparations / by George E. Crossen and Karl J. Goldner.</t>
  </si>
  <si>
    <t>Crossen, George Edward, 1905-</t>
  </si>
  <si>
    <t>Philadelphia : Lea &amp; Febiger, c1952.</t>
  </si>
  <si>
    <t>3d ed., thoroughly rev.</t>
  </si>
  <si>
    <t>1999-09-10</t>
  </si>
  <si>
    <t>QV 785 I34 1991</t>
  </si>
  <si>
    <t>0                      QV 0785000I  34          1991</t>
  </si>
  <si>
    <t>Implantable drug delivery systems / editors, U. Laffer, I. Bachmann-Mettler, U. Metzger.</t>
  </si>
  <si>
    <t>Basel ; New York : Karger, c1991.</t>
  </si>
  <si>
    <t>2000-02-23</t>
  </si>
  <si>
    <t>QV 785 I61f 1977</t>
  </si>
  <si>
    <t>0                      QV 0785000I  61f         1977</t>
  </si>
  <si>
    <t>Formulation and preparation of dosage forms : proceedings of the 37th International Congress of Pharmaceutical Sciences of F.I.P. held in The Hauge, The Netherlands, September 5-9, 1977 / editor, J. Polderman.</t>
  </si>
  <si>
    <t>International Congress of Pharmaceutical Sciences (37th : 1977 : Hague, Netherlands)</t>
  </si>
  <si>
    <t>Amsterdam ; New York : Elsevier/North-Holland Biomedical Press ; New York : sole distributors for the U.S.A. and Canada, Elsevier North-Holland, 1977.</t>
  </si>
  <si>
    <t>QV 785 L764 1991</t>
  </si>
  <si>
    <t>0                      QV 0785000L  764         1991</t>
  </si>
  <si>
    <t>Lipoproteins as carriers of pharmacological agents / edited by J. Michael Shaw.</t>
  </si>
  <si>
    <t>Targeted diagnosis and therapy ; 5</t>
  </si>
  <si>
    <t>1991-12-16</t>
  </si>
  <si>
    <t>QV 785 P535 1989-90</t>
  </si>
  <si>
    <t>0                      QV 0785000P  535         1989                                        -90</t>
  </si>
  <si>
    <t>Pharmaceutical dosage forms--tablets / edited by Herbert A. Lieberman, Leon Lachman, Joseph B. Schwartz.</t>
  </si>
  <si>
    <t>New York : Dekker, c1989-1990.</t>
  </si>
  <si>
    <t>1992-02-05</t>
  </si>
  <si>
    <t>1999-08-24</t>
  </si>
  <si>
    <t>1992-01-30</t>
  </si>
  <si>
    <t>QV 785 P5353 1993</t>
  </si>
  <si>
    <t>0                      QV 0785000P  5353        1993</t>
  </si>
  <si>
    <t>Pharmaceutical particulate carriers : therapeutic applications carriers / edited by Alain Rolland.</t>
  </si>
  <si>
    <t>New York : Marcel Dekker, c1993.</t>
  </si>
  <si>
    <t>Drugs and the pharmaceutical sciences ; v. 61</t>
  </si>
  <si>
    <t>2009-04-07</t>
  </si>
  <si>
    <t>QV785 P7833 2005</t>
  </si>
  <si>
    <t>0                      QV 0785000P  7833        2005</t>
  </si>
  <si>
    <t>Polymeric drug delivery systems / [edited by] Glen S. Kwon.</t>
  </si>
  <si>
    <t>Drugs and the pharmaceutical sciences ; v. 148</t>
  </si>
  <si>
    <t>2010-06-12</t>
  </si>
  <si>
    <t>2006-04-24</t>
  </si>
  <si>
    <t>QV 785 R869 1990</t>
  </si>
  <si>
    <t>0                      QV 0785000R  869         1990</t>
  </si>
  <si>
    <t>Routes of drug administration / edited by A.T. Florence and E.G. Salole.</t>
  </si>
  <si>
    <t>Topics in pharmacy ; v. 2</t>
  </si>
  <si>
    <t>1991-01-28</t>
  </si>
  <si>
    <t>QV 785 S734p 1950</t>
  </si>
  <si>
    <t>0                      QV 0785000S  734p        1950</t>
  </si>
  <si>
    <t>Pharmaceutical emulsions and emulsifying agents / Lawrence Spalton.</t>
  </si>
  <si>
    <t>Spalton, Lawrence M.</t>
  </si>
  <si>
    <t>Brooklyn : Chemical Publishing Co., 1950.</t>
  </si>
  <si>
    <t>QV 785 S964 1978</t>
  </si>
  <si>
    <t>0                      QV 0785000S  964         1978</t>
  </si>
  <si>
    <t>Sustained and controlled release drug delivery systems / edited by Joseph R. Robinson.</t>
  </si>
  <si>
    <t>-- New York : M. Dekker, c1978.</t>
  </si>
  <si>
    <t>Drugs and the pharmaceutical sciences ; v. 6</t>
  </si>
  <si>
    <t>QV 790 A512a 1934</t>
  </si>
  <si>
    <t>0                      QV 0790000A  512a        1934</t>
  </si>
  <si>
    <t>American druggist formula compendium / American Druggist.</t>
  </si>
  <si>
    <t>American druggist.</t>
  </si>
  <si>
    <t>New York : American Druggist, 1934.</t>
  </si>
  <si>
    <t>1934</t>
  </si>
  <si>
    <t>QV 800 A6134 2000</t>
  </si>
  <si>
    <t>0                      QV 0800000A  6134        2000</t>
  </si>
  <si>
    <t>Antioxidant and redox regulation of genes / edited by Chandan K. Sen, Helmut Sies, Patrick A. Baeuerle.</t>
  </si>
  <si>
    <t>San Diego, Calif. ; London : Academic, c2000.</t>
  </si>
  <si>
    <t>2000-03-28</t>
  </si>
  <si>
    <t>QV 800 N285 1994</t>
  </si>
  <si>
    <t>0                      QV 0800000N  285         1994</t>
  </si>
  <si>
    <t>Natural antioxidants in human health and disease / edited by Balz Frei.</t>
  </si>
  <si>
    <t>1995-02-20</t>
  </si>
  <si>
    <t>ZQV 600 W454i 1988</t>
  </si>
  <si>
    <t>0Z                     QV 0600000W  454i        1988</t>
  </si>
  <si>
    <t>Information resources in toxicology / Philip Wexler.</t>
  </si>
  <si>
    <t>Wexler, Philip, 1950-</t>
  </si>
  <si>
    <t>New York : Elsevier, c1988.</t>
  </si>
  <si>
    <t>1988-09-13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</si>
</sst>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3FE8-894D-4B89-890E-4DC0BD541B1B}">
  <dimension ref="A1:BD768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6" sqref="K6"/>
    </sheetView>
  </sheetViews>
  <sheetFormatPr defaultRowHeight="40.5" customHeight="1" x14ac:dyDescent="0.25"/>
  <cols>
    <col min="1" max="1" width="17.42578125" style="8" customWidth="1"/>
    <col min="2" max="2" width="20.5703125" customWidth="1"/>
    <col min="3" max="3" width="0" hidden="1" customWidth="1"/>
    <col min="4" max="4" width="34.140625" customWidth="1"/>
    <col min="6" max="10" width="0" hidden="1" customWidth="1"/>
    <col min="11" max="12" width="22.140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7109375" customWidth="1"/>
    <col min="32" max="41" width="0" hidden="1" customWidth="1"/>
    <col min="42" max="44" width="12.28515625" customWidth="1"/>
    <col min="47" max="56" width="0" hidden="1" customWidth="1"/>
  </cols>
  <sheetData>
    <row r="1" spans="1:56" ht="40.5" customHeight="1" x14ac:dyDescent="0.25">
      <c r="A1" s="7" t="s">
        <v>1337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0.5" customHeight="1" x14ac:dyDescent="0.25">
      <c r="A2" s="8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190</v>
      </c>
      <c r="Z2" s="4">
        <v>185</v>
      </c>
      <c r="AA2" s="4">
        <v>370</v>
      </c>
      <c r="AB2" s="4">
        <v>3</v>
      </c>
      <c r="AC2" s="4">
        <v>4</v>
      </c>
      <c r="AD2" s="4">
        <v>5</v>
      </c>
      <c r="AE2" s="4">
        <v>6</v>
      </c>
      <c r="AF2" s="4">
        <v>3</v>
      </c>
      <c r="AG2" s="4">
        <v>3</v>
      </c>
      <c r="AH2" s="4">
        <v>1</v>
      </c>
      <c r="AI2" s="4">
        <v>1</v>
      </c>
      <c r="AJ2" s="4">
        <v>2</v>
      </c>
      <c r="AK2" s="4">
        <v>3</v>
      </c>
      <c r="AL2" s="4">
        <v>1</v>
      </c>
      <c r="AM2" s="4">
        <v>1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HYPERLINK("https://creighton-primo.hosted.exlibrisgroup.com/primo-explore/search?tab=default_tab&amp;search_scope=EVERYTHING&amp;vid=01CRU&amp;lang=en_US&amp;offset=0&amp;query=any,contains,991003272899702656","Catalog Record")</f>
        <v>Catalog Record</v>
      </c>
      <c r="AT2" s="6" t="str">
        <f>HYPERLINK("http://www.worldcat.org/oclc/1197712","WorldCat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C2" s="3" t="s">
        <v>74</v>
      </c>
      <c r="BD2" s="3" t="s">
        <v>75</v>
      </c>
    </row>
    <row r="3" spans="1:56" ht="40.5" customHeight="1" x14ac:dyDescent="0.25">
      <c r="A3" s="8" t="s">
        <v>58</v>
      </c>
      <c r="B3" s="2" t="s">
        <v>76</v>
      </c>
      <c r="C3" s="2" t="s">
        <v>77</v>
      </c>
      <c r="D3" s="2" t="s">
        <v>78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79</v>
      </c>
      <c r="L3" s="2" t="s">
        <v>80</v>
      </c>
      <c r="M3" s="3" t="s">
        <v>81</v>
      </c>
      <c r="O3" s="3" t="s">
        <v>64</v>
      </c>
      <c r="P3" s="3" t="s">
        <v>65</v>
      </c>
      <c r="R3" s="3" t="s">
        <v>66</v>
      </c>
      <c r="S3" s="4">
        <v>1</v>
      </c>
      <c r="T3" s="4">
        <v>1</v>
      </c>
      <c r="U3" s="5" t="s">
        <v>82</v>
      </c>
      <c r="V3" s="5" t="s">
        <v>82</v>
      </c>
      <c r="W3" s="5" t="s">
        <v>82</v>
      </c>
      <c r="X3" s="5" t="s">
        <v>82</v>
      </c>
      <c r="Y3" s="4">
        <v>134</v>
      </c>
      <c r="Z3" s="4">
        <v>116</v>
      </c>
      <c r="AA3" s="4">
        <v>1501</v>
      </c>
      <c r="AB3" s="4">
        <v>1</v>
      </c>
      <c r="AC3" s="4">
        <v>5</v>
      </c>
      <c r="AD3" s="4">
        <v>5</v>
      </c>
      <c r="AE3" s="4">
        <v>17</v>
      </c>
      <c r="AF3" s="4">
        <v>3</v>
      </c>
      <c r="AG3" s="4">
        <v>8</v>
      </c>
      <c r="AH3" s="4">
        <v>0</v>
      </c>
      <c r="AI3" s="4">
        <v>2</v>
      </c>
      <c r="AJ3" s="4">
        <v>3</v>
      </c>
      <c r="AK3" s="4">
        <v>10</v>
      </c>
      <c r="AL3" s="4">
        <v>0</v>
      </c>
      <c r="AM3" s="4">
        <v>1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HYPERLINK("https://creighton-primo.hosted.exlibrisgroup.com/primo-explore/search?tab=default_tab&amp;search_scope=EVERYTHING&amp;vid=01CRU&amp;lang=en_US&amp;offset=0&amp;query=any,contains,991003570169702656","Catalog Record")</f>
        <v>Catalog Record</v>
      </c>
      <c r="AT3" s="6" t="str">
        <f>HYPERLINK("http://www.worldcat.org/oclc/6283045","WorldCat Record")</f>
        <v>WorldCat Record</v>
      </c>
      <c r="AU3" s="3" t="s">
        <v>83</v>
      </c>
      <c r="AV3" s="3" t="s">
        <v>84</v>
      </c>
      <c r="AW3" s="3" t="s">
        <v>85</v>
      </c>
      <c r="AX3" s="3" t="s">
        <v>85</v>
      </c>
      <c r="AY3" s="3" t="s">
        <v>86</v>
      </c>
      <c r="AZ3" s="3" t="s">
        <v>73</v>
      </c>
      <c r="BB3" s="3" t="s">
        <v>87</v>
      </c>
      <c r="BC3" s="3" t="s">
        <v>88</v>
      </c>
      <c r="BD3" s="3" t="s">
        <v>89</v>
      </c>
    </row>
    <row r="4" spans="1:56" ht="40.5" customHeight="1" x14ac:dyDescent="0.25">
      <c r="A4" s="8" t="s">
        <v>58</v>
      </c>
      <c r="B4" s="2" t="s">
        <v>90</v>
      </c>
      <c r="C4" s="2" t="s">
        <v>91</v>
      </c>
      <c r="D4" s="2" t="s">
        <v>92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93</v>
      </c>
      <c r="L4" s="2" t="s">
        <v>94</v>
      </c>
      <c r="M4" s="3" t="s">
        <v>95</v>
      </c>
      <c r="O4" s="3" t="s">
        <v>64</v>
      </c>
      <c r="P4" s="3" t="s">
        <v>96</v>
      </c>
      <c r="R4" s="3" t="s">
        <v>66</v>
      </c>
      <c r="S4" s="4">
        <v>3</v>
      </c>
      <c r="T4" s="4">
        <v>3</v>
      </c>
      <c r="U4" s="5" t="s">
        <v>97</v>
      </c>
      <c r="V4" s="5" t="s">
        <v>97</v>
      </c>
      <c r="W4" s="5" t="s">
        <v>98</v>
      </c>
      <c r="X4" s="5" t="s">
        <v>98</v>
      </c>
      <c r="Y4" s="4">
        <v>221</v>
      </c>
      <c r="Z4" s="4">
        <v>220</v>
      </c>
      <c r="AA4" s="4">
        <v>281</v>
      </c>
      <c r="AB4" s="4">
        <v>1</v>
      </c>
      <c r="AC4" s="4">
        <v>1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1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HYPERLINK("https://creighton-primo.hosted.exlibrisgroup.com/primo-explore/search?tab=default_tab&amp;search_scope=EVERYTHING&amp;vid=01CRU&amp;lang=en_US&amp;offset=0&amp;query=any,contains,991003933769702656","Catalog Record")</f>
        <v>Catalog Record</v>
      </c>
      <c r="AT4" s="6" t="str">
        <f>HYPERLINK("http://www.worldcat.org/oclc/48380776","WorldCat Record")</f>
        <v>WorldCat Record</v>
      </c>
      <c r="AU4" s="3" t="s">
        <v>99</v>
      </c>
      <c r="AV4" s="3" t="s">
        <v>100</v>
      </c>
      <c r="AW4" s="3" t="s">
        <v>101</v>
      </c>
      <c r="AX4" s="3" t="s">
        <v>101</v>
      </c>
      <c r="AY4" s="3" t="s">
        <v>102</v>
      </c>
      <c r="AZ4" s="3" t="s">
        <v>73</v>
      </c>
      <c r="BB4" s="3" t="s">
        <v>103</v>
      </c>
      <c r="BC4" s="3" t="s">
        <v>104</v>
      </c>
      <c r="BD4" s="3" t="s">
        <v>105</v>
      </c>
    </row>
    <row r="5" spans="1:56" ht="40.5" customHeight="1" x14ac:dyDescent="0.25">
      <c r="A5" s="8" t="s">
        <v>58</v>
      </c>
      <c r="B5" s="2" t="s">
        <v>106</v>
      </c>
      <c r="C5" s="2" t="s">
        <v>107</v>
      </c>
      <c r="D5" s="2" t="s">
        <v>108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109</v>
      </c>
      <c r="L5" s="2" t="s">
        <v>110</v>
      </c>
      <c r="M5" s="3" t="s">
        <v>111</v>
      </c>
      <c r="O5" s="3" t="s">
        <v>64</v>
      </c>
      <c r="P5" s="3" t="s">
        <v>112</v>
      </c>
      <c r="R5" s="3" t="s">
        <v>66</v>
      </c>
      <c r="S5" s="4">
        <v>43</v>
      </c>
      <c r="T5" s="4">
        <v>43</v>
      </c>
      <c r="U5" s="5" t="s">
        <v>113</v>
      </c>
      <c r="V5" s="5" t="s">
        <v>113</v>
      </c>
      <c r="W5" s="5" t="s">
        <v>114</v>
      </c>
      <c r="X5" s="5" t="s">
        <v>114</v>
      </c>
      <c r="Y5" s="4">
        <v>76</v>
      </c>
      <c r="Z5" s="4">
        <v>47</v>
      </c>
      <c r="AA5" s="4">
        <v>201</v>
      </c>
      <c r="AB5" s="4">
        <v>2</v>
      </c>
      <c r="AC5" s="4">
        <v>2</v>
      </c>
      <c r="AD5" s="4">
        <v>1</v>
      </c>
      <c r="AE5" s="4">
        <v>2</v>
      </c>
      <c r="AF5" s="4">
        <v>0</v>
      </c>
      <c r="AG5" s="4">
        <v>1</v>
      </c>
      <c r="AH5" s="4">
        <v>0</v>
      </c>
      <c r="AI5" s="4">
        <v>0</v>
      </c>
      <c r="AJ5" s="4">
        <v>0</v>
      </c>
      <c r="AK5" s="4">
        <v>0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115</v>
      </c>
      <c r="AR5" s="6" t="str">
        <f>HYPERLINK("http://catalog.hathitrust.org/Record/000747940","HathiTrust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HYPERLINK("https://creighton-primo.hosted.exlibrisgroup.com/primo-explore/search?tab=default_tab&amp;search_scope=EVERYTHING&amp;vid=01CRU&amp;lang=en_US&amp;offset=0&amp;query=any,contains,991004399589702656","Catalog Record")</f>
        <v>Catalog Record</v>
      </c>
      <c r="AT5" s="6" t="str">
        <f>HYPERLINK("http://www.worldcat.org/oclc/3294488","WorldCat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73</v>
      </c>
      <c r="BB5" s="3" t="s">
        <v>120</v>
      </c>
      <c r="BC5" s="3" t="s">
        <v>121</v>
      </c>
      <c r="BD5" s="3" t="s">
        <v>122</v>
      </c>
    </row>
    <row r="6" spans="1:56" ht="40.5" customHeight="1" x14ac:dyDescent="0.25">
      <c r="A6" s="8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126</v>
      </c>
      <c r="L6" s="2" t="s">
        <v>127</v>
      </c>
      <c r="M6" s="3" t="s">
        <v>81</v>
      </c>
      <c r="O6" s="3" t="s">
        <v>64</v>
      </c>
      <c r="P6" s="3" t="s">
        <v>112</v>
      </c>
      <c r="R6" s="3" t="s">
        <v>66</v>
      </c>
      <c r="S6" s="4">
        <v>39</v>
      </c>
      <c r="T6" s="4">
        <v>39</v>
      </c>
      <c r="U6" s="5" t="s">
        <v>128</v>
      </c>
      <c r="V6" s="5" t="s">
        <v>128</v>
      </c>
      <c r="W6" s="5" t="s">
        <v>129</v>
      </c>
      <c r="X6" s="5" t="s">
        <v>129</v>
      </c>
      <c r="Y6" s="4">
        <v>227</v>
      </c>
      <c r="Z6" s="4">
        <v>138</v>
      </c>
      <c r="AA6" s="4">
        <v>190</v>
      </c>
      <c r="AB6" s="4">
        <v>1</v>
      </c>
      <c r="AC6" s="4">
        <v>1</v>
      </c>
      <c r="AD6" s="4">
        <v>4</v>
      </c>
      <c r="AE6" s="4">
        <v>4</v>
      </c>
      <c r="AF6" s="4">
        <v>0</v>
      </c>
      <c r="AG6" s="4">
        <v>0</v>
      </c>
      <c r="AH6" s="4">
        <v>2</v>
      </c>
      <c r="AI6" s="4">
        <v>2</v>
      </c>
      <c r="AJ6" s="4">
        <v>3</v>
      </c>
      <c r="AK6" s="4">
        <v>3</v>
      </c>
      <c r="AL6" s="4">
        <v>0</v>
      </c>
      <c r="AM6" s="4">
        <v>0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HYPERLINK("https://creighton-primo.hosted.exlibrisgroup.com/primo-explore/search?tab=default_tab&amp;search_scope=EVERYTHING&amp;vid=01CRU&amp;lang=en_US&amp;offset=0&amp;query=any,contains,991005056639702656","Catalog Record")</f>
        <v>Catalog Record</v>
      </c>
      <c r="AT6" s="6" t="str">
        <f>HYPERLINK("http://www.worldcat.org/oclc/6900543","WorldCat Record")</f>
        <v>WorldCat Record</v>
      </c>
      <c r="AU6" s="3" t="s">
        <v>130</v>
      </c>
      <c r="AV6" s="3" t="s">
        <v>131</v>
      </c>
      <c r="AW6" s="3" t="s">
        <v>132</v>
      </c>
      <c r="AX6" s="3" t="s">
        <v>132</v>
      </c>
      <c r="AY6" s="3" t="s">
        <v>133</v>
      </c>
      <c r="AZ6" s="3" t="s">
        <v>73</v>
      </c>
      <c r="BB6" s="3" t="s">
        <v>134</v>
      </c>
      <c r="BC6" s="3" t="s">
        <v>135</v>
      </c>
      <c r="BD6" s="3" t="s">
        <v>136</v>
      </c>
    </row>
    <row r="7" spans="1:56" ht="40.5" customHeight="1" x14ac:dyDescent="0.25">
      <c r="A7" s="8" t="s">
        <v>58</v>
      </c>
      <c r="B7" s="2" t="s">
        <v>137</v>
      </c>
      <c r="C7" s="2" t="s">
        <v>138</v>
      </c>
      <c r="D7" s="2" t="s">
        <v>139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140</v>
      </c>
      <c r="L7" s="2" t="s">
        <v>141</v>
      </c>
      <c r="M7" s="3" t="s">
        <v>142</v>
      </c>
      <c r="N7" s="2" t="s">
        <v>143</v>
      </c>
      <c r="O7" s="3" t="s">
        <v>64</v>
      </c>
      <c r="P7" s="3" t="s">
        <v>144</v>
      </c>
      <c r="R7" s="3" t="s">
        <v>66</v>
      </c>
      <c r="S7" s="4">
        <v>3</v>
      </c>
      <c r="T7" s="4">
        <v>3</v>
      </c>
      <c r="U7" s="5" t="s">
        <v>145</v>
      </c>
      <c r="V7" s="5" t="s">
        <v>145</v>
      </c>
      <c r="W7" s="5" t="s">
        <v>146</v>
      </c>
      <c r="X7" s="5" t="s">
        <v>146</v>
      </c>
      <c r="Y7" s="4">
        <v>170</v>
      </c>
      <c r="Z7" s="4">
        <v>129</v>
      </c>
      <c r="AA7" s="4">
        <v>207</v>
      </c>
      <c r="AB7" s="4">
        <v>1</v>
      </c>
      <c r="AC7" s="4">
        <v>2</v>
      </c>
      <c r="AD7" s="4">
        <v>1</v>
      </c>
      <c r="AE7" s="4">
        <v>5</v>
      </c>
      <c r="AF7" s="4">
        <v>1</v>
      </c>
      <c r="AG7" s="4">
        <v>2</v>
      </c>
      <c r="AH7" s="4">
        <v>0</v>
      </c>
      <c r="AI7" s="4">
        <v>1</v>
      </c>
      <c r="AJ7" s="4">
        <v>0</v>
      </c>
      <c r="AK7" s="4">
        <v>1</v>
      </c>
      <c r="AL7" s="4">
        <v>0</v>
      </c>
      <c r="AM7" s="4">
        <v>1</v>
      </c>
      <c r="AN7" s="4">
        <v>0</v>
      </c>
      <c r="AO7" s="4">
        <v>0</v>
      </c>
      <c r="AP7" s="3" t="s">
        <v>58</v>
      </c>
      <c r="AQ7" s="3" t="s">
        <v>115</v>
      </c>
      <c r="AR7" s="6" t="str">
        <f>HYPERLINK("http://catalog.hathitrust.org/Record/008996307","HathiTrust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HYPERLINK("https://creighton-primo.hosted.exlibrisgroup.com/primo-explore/search?tab=default_tab&amp;search_scope=EVERYTHING&amp;vid=01CRU&amp;lang=en_US&amp;offset=0&amp;query=any,contains,991001797589702656","Catalog Record")</f>
        <v>Catalog Record</v>
      </c>
      <c r="AT7" s="6" t="str">
        <f>HYPERLINK("http://www.worldcat.org/oclc/22624094","WorldCat Record")</f>
        <v>WorldCat Record</v>
      </c>
      <c r="AU7" s="3" t="s">
        <v>147</v>
      </c>
      <c r="AV7" s="3" t="s">
        <v>148</v>
      </c>
      <c r="AW7" s="3" t="s">
        <v>149</v>
      </c>
      <c r="AX7" s="3" t="s">
        <v>149</v>
      </c>
      <c r="AY7" s="3" t="s">
        <v>150</v>
      </c>
      <c r="AZ7" s="3" t="s">
        <v>73</v>
      </c>
      <c r="BB7" s="3" t="s">
        <v>151</v>
      </c>
      <c r="BC7" s="3" t="s">
        <v>152</v>
      </c>
      <c r="BD7" s="3" t="s">
        <v>153</v>
      </c>
    </row>
    <row r="8" spans="1:56" ht="40.5" customHeight="1" x14ac:dyDescent="0.25">
      <c r="A8" s="8" t="s">
        <v>58</v>
      </c>
      <c r="B8" s="2" t="s">
        <v>154</v>
      </c>
      <c r="C8" s="2" t="s">
        <v>155</v>
      </c>
      <c r="D8" s="2" t="s">
        <v>156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157</v>
      </c>
      <c r="L8" s="2" t="s">
        <v>158</v>
      </c>
      <c r="M8" s="3" t="s">
        <v>159</v>
      </c>
      <c r="O8" s="3" t="s">
        <v>64</v>
      </c>
      <c r="P8" s="3" t="s">
        <v>65</v>
      </c>
      <c r="R8" s="3" t="s">
        <v>66</v>
      </c>
      <c r="S8" s="4">
        <v>17</v>
      </c>
      <c r="T8" s="4">
        <v>17</v>
      </c>
      <c r="U8" s="5" t="s">
        <v>160</v>
      </c>
      <c r="V8" s="5" t="s">
        <v>160</v>
      </c>
      <c r="W8" s="5" t="s">
        <v>161</v>
      </c>
      <c r="X8" s="5" t="s">
        <v>161</v>
      </c>
      <c r="Y8" s="4">
        <v>231</v>
      </c>
      <c r="Z8" s="4">
        <v>220</v>
      </c>
      <c r="AA8" s="4">
        <v>335</v>
      </c>
      <c r="AB8" s="4">
        <v>4</v>
      </c>
      <c r="AC8" s="4">
        <v>5</v>
      </c>
      <c r="AD8" s="4">
        <v>4</v>
      </c>
      <c r="AE8" s="4">
        <v>7</v>
      </c>
      <c r="AF8" s="4">
        <v>1</v>
      </c>
      <c r="AG8" s="4">
        <v>2</v>
      </c>
      <c r="AH8" s="4">
        <v>0</v>
      </c>
      <c r="AI8" s="4">
        <v>0</v>
      </c>
      <c r="AJ8" s="4">
        <v>0</v>
      </c>
      <c r="AK8" s="4">
        <v>1</v>
      </c>
      <c r="AL8" s="4">
        <v>3</v>
      </c>
      <c r="AM8" s="4">
        <v>4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HYPERLINK("https://creighton-primo.hosted.exlibrisgroup.com/primo-explore/search?tab=default_tab&amp;search_scope=EVERYTHING&amp;vid=01CRU&amp;lang=en_US&amp;offset=0&amp;query=any,contains,991003150759702656","Catalog Record")</f>
        <v>Catalog Record</v>
      </c>
      <c r="AT8" s="6" t="str">
        <f>HYPERLINK("http://www.worldcat.org/oclc/690072","WorldCat Record")</f>
        <v>WorldCat Record</v>
      </c>
      <c r="AU8" s="3" t="s">
        <v>162</v>
      </c>
      <c r="AV8" s="3" t="s">
        <v>163</v>
      </c>
      <c r="AW8" s="3" t="s">
        <v>164</v>
      </c>
      <c r="AX8" s="3" t="s">
        <v>164</v>
      </c>
      <c r="AY8" s="3" t="s">
        <v>165</v>
      </c>
      <c r="AZ8" s="3" t="s">
        <v>73</v>
      </c>
      <c r="BC8" s="3" t="s">
        <v>166</v>
      </c>
      <c r="BD8" s="3" t="s">
        <v>167</v>
      </c>
    </row>
    <row r="9" spans="1:56" ht="40.5" customHeight="1" x14ac:dyDescent="0.25">
      <c r="A9" s="8" t="s">
        <v>58</v>
      </c>
      <c r="B9" s="2" t="s">
        <v>168</v>
      </c>
      <c r="C9" s="2" t="s">
        <v>169</v>
      </c>
      <c r="D9" s="2" t="s">
        <v>170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171</v>
      </c>
      <c r="L9" s="2" t="s">
        <v>172</v>
      </c>
      <c r="M9" s="3" t="s">
        <v>173</v>
      </c>
      <c r="N9" s="2" t="s">
        <v>174</v>
      </c>
      <c r="O9" s="3" t="s">
        <v>64</v>
      </c>
      <c r="P9" s="3" t="s">
        <v>65</v>
      </c>
      <c r="R9" s="3" t="s">
        <v>66</v>
      </c>
      <c r="S9" s="4">
        <v>17</v>
      </c>
      <c r="T9" s="4">
        <v>17</v>
      </c>
      <c r="U9" s="5" t="s">
        <v>175</v>
      </c>
      <c r="V9" s="5" t="s">
        <v>175</v>
      </c>
      <c r="W9" s="5" t="s">
        <v>176</v>
      </c>
      <c r="X9" s="5" t="s">
        <v>176</v>
      </c>
      <c r="Y9" s="4">
        <v>891</v>
      </c>
      <c r="Z9" s="4">
        <v>855</v>
      </c>
      <c r="AA9" s="4">
        <v>947</v>
      </c>
      <c r="AB9" s="4">
        <v>9</v>
      </c>
      <c r="AC9" s="4">
        <v>9</v>
      </c>
      <c r="AD9" s="4">
        <v>4</v>
      </c>
      <c r="AE9" s="4">
        <v>5</v>
      </c>
      <c r="AF9" s="4">
        <v>2</v>
      </c>
      <c r="AG9" s="4">
        <v>2</v>
      </c>
      <c r="AH9" s="4">
        <v>0</v>
      </c>
      <c r="AI9" s="4">
        <v>0</v>
      </c>
      <c r="AJ9" s="4">
        <v>0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HYPERLINK("https://creighton-primo.hosted.exlibrisgroup.com/primo-explore/search?tab=default_tab&amp;search_scope=EVERYTHING&amp;vid=01CRU&amp;lang=en_US&amp;offset=0&amp;query=any,contains,991002311629702656","Catalog Record")</f>
        <v>Catalog Record</v>
      </c>
      <c r="AT9" s="6" t="str">
        <f>HYPERLINK("http://www.worldcat.org/oclc/30025880","WorldCat Record")</f>
        <v>WorldCat Record</v>
      </c>
      <c r="AU9" s="3" t="s">
        <v>177</v>
      </c>
      <c r="AV9" s="3" t="s">
        <v>178</v>
      </c>
      <c r="AW9" s="3" t="s">
        <v>179</v>
      </c>
      <c r="AX9" s="3" t="s">
        <v>179</v>
      </c>
      <c r="AY9" s="3" t="s">
        <v>180</v>
      </c>
      <c r="AZ9" s="3" t="s">
        <v>73</v>
      </c>
      <c r="BB9" s="3" t="s">
        <v>181</v>
      </c>
      <c r="BC9" s="3" t="s">
        <v>182</v>
      </c>
      <c r="BD9" s="3" t="s">
        <v>183</v>
      </c>
    </row>
    <row r="10" spans="1:56" ht="40.5" customHeight="1" x14ac:dyDescent="0.25">
      <c r="A10" s="8" t="s">
        <v>58</v>
      </c>
      <c r="B10" s="2" t="s">
        <v>184</v>
      </c>
      <c r="C10" s="2" t="s">
        <v>185</v>
      </c>
      <c r="D10" s="2" t="s">
        <v>186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187</v>
      </c>
      <c r="L10" s="2" t="s">
        <v>188</v>
      </c>
      <c r="M10" s="3" t="s">
        <v>189</v>
      </c>
      <c r="N10" s="2" t="s">
        <v>143</v>
      </c>
      <c r="O10" s="3" t="s">
        <v>64</v>
      </c>
      <c r="P10" s="3" t="s">
        <v>190</v>
      </c>
      <c r="Q10" s="2" t="s">
        <v>191</v>
      </c>
      <c r="R10" s="3" t="s">
        <v>66</v>
      </c>
      <c r="S10" s="4">
        <v>24</v>
      </c>
      <c r="T10" s="4">
        <v>24</v>
      </c>
      <c r="U10" s="5" t="s">
        <v>192</v>
      </c>
      <c r="V10" s="5" t="s">
        <v>192</v>
      </c>
      <c r="W10" s="5" t="s">
        <v>193</v>
      </c>
      <c r="X10" s="5" t="s">
        <v>193</v>
      </c>
      <c r="Y10" s="4">
        <v>91</v>
      </c>
      <c r="Z10" s="4">
        <v>76</v>
      </c>
      <c r="AA10" s="4">
        <v>346</v>
      </c>
      <c r="AB10" s="4">
        <v>1</v>
      </c>
      <c r="AC10" s="4">
        <v>2</v>
      </c>
      <c r="AD10" s="4">
        <v>1</v>
      </c>
      <c r="AE10" s="4">
        <v>9</v>
      </c>
      <c r="AF10" s="4">
        <v>1</v>
      </c>
      <c r="AG10" s="4">
        <v>5</v>
      </c>
      <c r="AH10" s="4">
        <v>0</v>
      </c>
      <c r="AI10" s="4">
        <v>2</v>
      </c>
      <c r="AJ10" s="4">
        <v>0</v>
      </c>
      <c r="AK10" s="4">
        <v>4</v>
      </c>
      <c r="AL10" s="4">
        <v>0</v>
      </c>
      <c r="AM10" s="4">
        <v>1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HYPERLINK("https://creighton-primo.hosted.exlibrisgroup.com/primo-explore/search?tab=default_tab&amp;search_scope=EVERYTHING&amp;vid=01CRU&amp;lang=en_US&amp;offset=0&amp;query=any,contains,991001981099702656","Catalog Record")</f>
        <v>Catalog Record</v>
      </c>
      <c r="AT10" s="6" t="str">
        <f>HYPERLINK("http://www.worldcat.org/oclc/25131614","WorldCat Record")</f>
        <v>WorldCat Record</v>
      </c>
      <c r="AU10" s="3" t="s">
        <v>194</v>
      </c>
      <c r="AV10" s="3" t="s">
        <v>195</v>
      </c>
      <c r="AW10" s="3" t="s">
        <v>196</v>
      </c>
      <c r="AX10" s="3" t="s">
        <v>196</v>
      </c>
      <c r="AY10" s="3" t="s">
        <v>197</v>
      </c>
      <c r="AZ10" s="3" t="s">
        <v>73</v>
      </c>
      <c r="BB10" s="3" t="s">
        <v>198</v>
      </c>
      <c r="BC10" s="3" t="s">
        <v>199</v>
      </c>
      <c r="BD10" s="3" t="s">
        <v>200</v>
      </c>
    </row>
    <row r="11" spans="1:56" ht="40.5" customHeight="1" x14ac:dyDescent="0.25">
      <c r="A11" s="8" t="s">
        <v>58</v>
      </c>
      <c r="B11" s="2" t="s">
        <v>201</v>
      </c>
      <c r="C11" s="2" t="s">
        <v>202</v>
      </c>
      <c r="D11" s="2" t="s">
        <v>203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204</v>
      </c>
      <c r="L11" s="2" t="s">
        <v>205</v>
      </c>
      <c r="M11" s="3" t="s">
        <v>206</v>
      </c>
      <c r="O11" s="3" t="s">
        <v>64</v>
      </c>
      <c r="P11" s="3" t="s">
        <v>144</v>
      </c>
      <c r="R11" s="3" t="s">
        <v>66</v>
      </c>
      <c r="S11" s="4">
        <v>4</v>
      </c>
      <c r="T11" s="4">
        <v>4</v>
      </c>
      <c r="U11" s="5" t="s">
        <v>207</v>
      </c>
      <c r="V11" s="5" t="s">
        <v>207</v>
      </c>
      <c r="W11" s="5" t="s">
        <v>208</v>
      </c>
      <c r="X11" s="5" t="s">
        <v>208</v>
      </c>
      <c r="Y11" s="4">
        <v>124</v>
      </c>
      <c r="Z11" s="4">
        <v>104</v>
      </c>
      <c r="AA11" s="4">
        <v>106</v>
      </c>
      <c r="AB11" s="4">
        <v>1</v>
      </c>
      <c r="AC11" s="4">
        <v>1</v>
      </c>
      <c r="AD11" s="4">
        <v>1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R11" s="6" t="str">
        <f>HYPERLINK("http://catalog.hathitrust.org/Record/001572770","HathiTrust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HYPERLINK("https://creighton-primo.hosted.exlibrisgroup.com/primo-explore/search?tab=default_tab&amp;search_scope=EVERYTHING&amp;vid=01CRU&amp;lang=en_US&amp;offset=0&amp;query=any,contains,991003713009702656","Catalog Record")</f>
        <v>Catalog Record</v>
      </c>
      <c r="AT11" s="6" t="str">
        <f>HYPERLINK("http://www.worldcat.org/oclc/1355376","WorldCat Record")</f>
        <v>WorldCat Record</v>
      </c>
      <c r="AU11" s="3" t="s">
        <v>209</v>
      </c>
      <c r="AV11" s="3" t="s">
        <v>210</v>
      </c>
      <c r="AW11" s="3" t="s">
        <v>211</v>
      </c>
      <c r="AX11" s="3" t="s">
        <v>211</v>
      </c>
      <c r="AY11" s="3" t="s">
        <v>212</v>
      </c>
      <c r="AZ11" s="3" t="s">
        <v>73</v>
      </c>
      <c r="BC11" s="3" t="s">
        <v>213</v>
      </c>
      <c r="BD11" s="3" t="s">
        <v>214</v>
      </c>
    </row>
    <row r="12" spans="1:56" ht="40.5" customHeight="1" x14ac:dyDescent="0.25">
      <c r="A12" s="8" t="s">
        <v>58</v>
      </c>
      <c r="B12" s="2" t="s">
        <v>215</v>
      </c>
      <c r="C12" s="2" t="s">
        <v>216</v>
      </c>
      <c r="D12" s="2" t="s">
        <v>217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218</v>
      </c>
      <c r="L12" s="2" t="s">
        <v>219</v>
      </c>
      <c r="M12" s="3" t="s">
        <v>220</v>
      </c>
      <c r="N12" s="2" t="s">
        <v>221</v>
      </c>
      <c r="O12" s="3" t="s">
        <v>64</v>
      </c>
      <c r="P12" s="3" t="s">
        <v>144</v>
      </c>
      <c r="R12" s="3" t="s">
        <v>66</v>
      </c>
      <c r="S12" s="4">
        <v>6</v>
      </c>
      <c r="T12" s="4">
        <v>6</v>
      </c>
      <c r="U12" s="5" t="s">
        <v>207</v>
      </c>
      <c r="V12" s="5" t="s">
        <v>207</v>
      </c>
      <c r="W12" s="5" t="s">
        <v>222</v>
      </c>
      <c r="X12" s="5" t="s">
        <v>222</v>
      </c>
      <c r="Y12" s="4">
        <v>279</v>
      </c>
      <c r="Z12" s="4">
        <v>237</v>
      </c>
      <c r="AA12" s="4">
        <v>336</v>
      </c>
      <c r="AB12" s="4">
        <v>1</v>
      </c>
      <c r="AC12" s="4">
        <v>1</v>
      </c>
      <c r="AD12" s="4">
        <v>6</v>
      </c>
      <c r="AE12" s="4">
        <v>8</v>
      </c>
      <c r="AF12" s="4">
        <v>4</v>
      </c>
      <c r="AG12" s="4">
        <v>5</v>
      </c>
      <c r="AH12" s="4">
        <v>0</v>
      </c>
      <c r="AI12" s="4">
        <v>1</v>
      </c>
      <c r="AJ12" s="4">
        <v>4</v>
      </c>
      <c r="AK12" s="4">
        <v>4</v>
      </c>
      <c r="AL12" s="4">
        <v>0</v>
      </c>
      <c r="AM12" s="4">
        <v>0</v>
      </c>
      <c r="AN12" s="4">
        <v>0</v>
      </c>
      <c r="AO12" s="4">
        <v>0</v>
      </c>
      <c r="AP12" s="3" t="s">
        <v>58</v>
      </c>
      <c r="AQ12" s="3" t="s">
        <v>115</v>
      </c>
      <c r="AR12" s="6" t="str">
        <f>HYPERLINK("http://catalog.hathitrust.org/Record/001572782","HathiTrust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HYPERLINK("https://creighton-primo.hosted.exlibrisgroup.com/primo-explore/search?tab=default_tab&amp;search_scope=EVERYTHING&amp;vid=01CRU&amp;lang=en_US&amp;offset=0&amp;query=any,contains,991005264249702656","Catalog Record")</f>
        <v>Catalog Record</v>
      </c>
      <c r="AT12" s="6" t="str">
        <f>HYPERLINK("http://www.worldcat.org/oclc/114441","WorldCat Record")</f>
        <v>WorldCat Record</v>
      </c>
      <c r="AU12" s="3" t="s">
        <v>223</v>
      </c>
      <c r="AV12" s="3" t="s">
        <v>224</v>
      </c>
      <c r="AW12" s="3" t="s">
        <v>225</v>
      </c>
      <c r="AX12" s="3" t="s">
        <v>225</v>
      </c>
      <c r="AY12" s="3" t="s">
        <v>226</v>
      </c>
      <c r="AZ12" s="3" t="s">
        <v>73</v>
      </c>
      <c r="BB12" s="3" t="s">
        <v>227</v>
      </c>
      <c r="BC12" s="3" t="s">
        <v>228</v>
      </c>
      <c r="BD12" s="3" t="s">
        <v>229</v>
      </c>
    </row>
    <row r="13" spans="1:56" ht="40.5" customHeight="1" x14ac:dyDescent="0.25">
      <c r="A13" s="8" t="s">
        <v>58</v>
      </c>
      <c r="B13" s="2" t="s">
        <v>230</v>
      </c>
      <c r="C13" s="2" t="s">
        <v>231</v>
      </c>
      <c r="D13" s="2" t="s">
        <v>232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233</v>
      </c>
      <c r="L13" s="2" t="s">
        <v>234</v>
      </c>
      <c r="M13" s="3" t="s">
        <v>235</v>
      </c>
      <c r="N13" s="2" t="s">
        <v>174</v>
      </c>
      <c r="O13" s="3" t="s">
        <v>64</v>
      </c>
      <c r="P13" s="3" t="s">
        <v>65</v>
      </c>
      <c r="R13" s="3" t="s">
        <v>66</v>
      </c>
      <c r="S13" s="4">
        <v>11</v>
      </c>
      <c r="T13" s="4">
        <v>11</v>
      </c>
      <c r="U13" s="5" t="s">
        <v>236</v>
      </c>
      <c r="V13" s="5" t="s">
        <v>236</v>
      </c>
      <c r="W13" s="5" t="s">
        <v>237</v>
      </c>
      <c r="X13" s="5" t="s">
        <v>237</v>
      </c>
      <c r="Y13" s="4">
        <v>220</v>
      </c>
      <c r="Z13" s="4">
        <v>214</v>
      </c>
      <c r="AA13" s="4">
        <v>226</v>
      </c>
      <c r="AB13" s="4">
        <v>3</v>
      </c>
      <c r="AC13" s="4">
        <v>3</v>
      </c>
      <c r="AD13" s="4">
        <v>1</v>
      </c>
      <c r="AE13" s="4">
        <v>1</v>
      </c>
      <c r="AF13" s="4">
        <v>1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HYPERLINK("https://creighton-primo.hosted.exlibrisgroup.com/primo-explore/search?tab=default_tab&amp;search_scope=EVERYTHING&amp;vid=01CRU&amp;lang=en_US&amp;offset=0&amp;query=any,contains,991004464259702656","Catalog Record")</f>
        <v>Catalog Record</v>
      </c>
      <c r="AT13" s="6" t="str">
        <f>HYPERLINK("http://www.worldcat.org/oclc/3559594","WorldCat Record")</f>
        <v>WorldCat Record</v>
      </c>
      <c r="AU13" s="3" t="s">
        <v>238</v>
      </c>
      <c r="AV13" s="3" t="s">
        <v>239</v>
      </c>
      <c r="AW13" s="3" t="s">
        <v>240</v>
      </c>
      <c r="AX13" s="3" t="s">
        <v>240</v>
      </c>
      <c r="AY13" s="3" t="s">
        <v>241</v>
      </c>
      <c r="AZ13" s="3" t="s">
        <v>73</v>
      </c>
      <c r="BB13" s="3" t="s">
        <v>242</v>
      </c>
      <c r="BC13" s="3" t="s">
        <v>243</v>
      </c>
      <c r="BD13" s="3" t="s">
        <v>244</v>
      </c>
    </row>
    <row r="14" spans="1:56" ht="40.5" customHeight="1" x14ac:dyDescent="0.25">
      <c r="A14" s="8" t="s">
        <v>58</v>
      </c>
      <c r="B14" s="2" t="s">
        <v>245</v>
      </c>
      <c r="C14" s="2" t="s">
        <v>246</v>
      </c>
      <c r="D14" s="2" t="s">
        <v>247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248</v>
      </c>
      <c r="L14" s="2" t="s">
        <v>249</v>
      </c>
      <c r="M14" s="3" t="s">
        <v>250</v>
      </c>
      <c r="O14" s="3" t="s">
        <v>64</v>
      </c>
      <c r="P14" s="3" t="s">
        <v>251</v>
      </c>
      <c r="R14" s="3" t="s">
        <v>66</v>
      </c>
      <c r="S14" s="4">
        <v>6</v>
      </c>
      <c r="T14" s="4">
        <v>6</v>
      </c>
      <c r="U14" s="5" t="s">
        <v>252</v>
      </c>
      <c r="V14" s="5" t="s">
        <v>252</v>
      </c>
      <c r="W14" s="5" t="s">
        <v>253</v>
      </c>
      <c r="X14" s="5" t="s">
        <v>253</v>
      </c>
      <c r="Y14" s="4">
        <v>70</v>
      </c>
      <c r="Z14" s="4">
        <v>68</v>
      </c>
      <c r="AA14" s="4">
        <v>69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115</v>
      </c>
      <c r="AR14" s="6" t="str">
        <f>HYPERLINK("http://catalog.hathitrust.org/Record/009112868","HathiTrust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HYPERLINK("https://creighton-primo.hosted.exlibrisgroup.com/primo-explore/search?tab=default_tab&amp;search_scope=EVERYTHING&amp;vid=01CRU&amp;lang=en_US&amp;offset=0&amp;query=any,contains,991003755789702656","Catalog Record")</f>
        <v>Catalog Record</v>
      </c>
      <c r="AT14" s="6" t="str">
        <f>HYPERLINK("http://www.worldcat.org/oclc/1435990","WorldCat Record")</f>
        <v>WorldCat Record</v>
      </c>
      <c r="AU14" s="3" t="s">
        <v>254</v>
      </c>
      <c r="AV14" s="3" t="s">
        <v>255</v>
      </c>
      <c r="AW14" s="3" t="s">
        <v>256</v>
      </c>
      <c r="AX14" s="3" t="s">
        <v>256</v>
      </c>
      <c r="AY14" s="3" t="s">
        <v>257</v>
      </c>
      <c r="AZ14" s="3" t="s">
        <v>73</v>
      </c>
      <c r="BC14" s="3" t="s">
        <v>258</v>
      </c>
      <c r="BD14" s="3" t="s">
        <v>259</v>
      </c>
    </row>
    <row r="15" spans="1:56" ht="40.5" customHeight="1" x14ac:dyDescent="0.25">
      <c r="A15" s="8" t="s">
        <v>58</v>
      </c>
      <c r="B15" s="2" t="s">
        <v>260</v>
      </c>
      <c r="C15" s="2" t="s">
        <v>261</v>
      </c>
      <c r="D15" s="2" t="s">
        <v>262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263</v>
      </c>
      <c r="L15" s="2" t="s">
        <v>264</v>
      </c>
      <c r="M15" s="3" t="s">
        <v>81</v>
      </c>
      <c r="O15" s="3" t="s">
        <v>64</v>
      </c>
      <c r="P15" s="3" t="s">
        <v>265</v>
      </c>
      <c r="R15" s="3" t="s">
        <v>66</v>
      </c>
      <c r="S15" s="4">
        <v>20</v>
      </c>
      <c r="T15" s="4">
        <v>20</v>
      </c>
      <c r="U15" s="5" t="s">
        <v>207</v>
      </c>
      <c r="V15" s="5" t="s">
        <v>207</v>
      </c>
      <c r="W15" s="5" t="s">
        <v>237</v>
      </c>
      <c r="X15" s="5" t="s">
        <v>237</v>
      </c>
      <c r="Y15" s="4">
        <v>132</v>
      </c>
      <c r="Z15" s="4">
        <v>123</v>
      </c>
      <c r="AA15" s="4">
        <v>683</v>
      </c>
      <c r="AB15" s="4">
        <v>1</v>
      </c>
      <c r="AC15" s="4">
        <v>3</v>
      </c>
      <c r="AD15" s="4">
        <v>0</v>
      </c>
      <c r="AE15" s="4">
        <v>3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 s="4">
        <v>1</v>
      </c>
      <c r="AL15" s="4">
        <v>0</v>
      </c>
      <c r="AM15" s="4">
        <v>1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HYPERLINK("https://creighton-primo.hosted.exlibrisgroup.com/primo-explore/search?tab=default_tab&amp;search_scope=EVERYTHING&amp;vid=01CRU&amp;lang=en_US&amp;offset=0&amp;query=any,contains,991005045629702656","Catalog Record")</f>
        <v>Catalog Record</v>
      </c>
      <c r="AT15" s="6" t="str">
        <f>HYPERLINK("http://www.worldcat.org/oclc/6828069","WorldCat Record")</f>
        <v>WorldCat Record</v>
      </c>
      <c r="AU15" s="3" t="s">
        <v>266</v>
      </c>
      <c r="AV15" s="3" t="s">
        <v>267</v>
      </c>
      <c r="AW15" s="3" t="s">
        <v>268</v>
      </c>
      <c r="AX15" s="3" t="s">
        <v>268</v>
      </c>
      <c r="AY15" s="3" t="s">
        <v>269</v>
      </c>
      <c r="AZ15" s="3" t="s">
        <v>73</v>
      </c>
      <c r="BC15" s="3" t="s">
        <v>270</v>
      </c>
      <c r="BD15" s="3" t="s">
        <v>271</v>
      </c>
    </row>
    <row r="16" spans="1:56" ht="40.5" customHeight="1" x14ac:dyDescent="0.25">
      <c r="A16" s="8" t="s">
        <v>58</v>
      </c>
      <c r="B16" s="2" t="s">
        <v>272</v>
      </c>
      <c r="C16" s="2" t="s">
        <v>273</v>
      </c>
      <c r="D16" s="2" t="s">
        <v>274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275</v>
      </c>
      <c r="L16" s="2" t="s">
        <v>276</v>
      </c>
      <c r="M16" s="3" t="s">
        <v>81</v>
      </c>
      <c r="N16" s="2" t="s">
        <v>174</v>
      </c>
      <c r="O16" s="3" t="s">
        <v>64</v>
      </c>
      <c r="P16" s="3" t="s">
        <v>65</v>
      </c>
      <c r="R16" s="3" t="s">
        <v>66</v>
      </c>
      <c r="S16" s="4">
        <v>5</v>
      </c>
      <c r="T16" s="4">
        <v>5</v>
      </c>
      <c r="U16" s="5" t="s">
        <v>277</v>
      </c>
      <c r="V16" s="5" t="s">
        <v>277</v>
      </c>
      <c r="W16" s="5" t="s">
        <v>253</v>
      </c>
      <c r="X16" s="5" t="s">
        <v>253</v>
      </c>
      <c r="Y16" s="4">
        <v>148</v>
      </c>
      <c r="Z16" s="4">
        <v>144</v>
      </c>
      <c r="AA16" s="4">
        <v>144</v>
      </c>
      <c r="AB16" s="4">
        <v>1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HYPERLINK("https://creighton-primo.hosted.exlibrisgroup.com/primo-explore/search?tab=default_tab&amp;search_scope=EVERYTHING&amp;vid=01CRU&amp;lang=en_US&amp;offset=0&amp;query=any,contains,991004822149702656","Catalog Record")</f>
        <v>Catalog Record</v>
      </c>
      <c r="AT16" s="6" t="str">
        <f>HYPERLINK("http://www.worldcat.org/oclc/5336732","WorldCat Record")</f>
        <v>WorldCat Record</v>
      </c>
      <c r="AU16" s="3" t="s">
        <v>278</v>
      </c>
      <c r="AV16" s="3" t="s">
        <v>279</v>
      </c>
      <c r="AW16" s="3" t="s">
        <v>280</v>
      </c>
      <c r="AX16" s="3" t="s">
        <v>280</v>
      </c>
      <c r="AY16" s="3" t="s">
        <v>281</v>
      </c>
      <c r="AZ16" s="3" t="s">
        <v>73</v>
      </c>
      <c r="BB16" s="3" t="s">
        <v>282</v>
      </c>
      <c r="BC16" s="3" t="s">
        <v>283</v>
      </c>
      <c r="BD16" s="3" t="s">
        <v>284</v>
      </c>
    </row>
    <row r="17" spans="1:56" ht="40.5" customHeight="1" x14ac:dyDescent="0.25">
      <c r="A17" s="8" t="s">
        <v>58</v>
      </c>
      <c r="B17" s="2" t="s">
        <v>285</v>
      </c>
      <c r="C17" s="2" t="s">
        <v>286</v>
      </c>
      <c r="D17" s="2" t="s">
        <v>287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288</v>
      </c>
      <c r="L17" s="2" t="s">
        <v>289</v>
      </c>
      <c r="M17" s="3" t="s">
        <v>290</v>
      </c>
      <c r="N17" s="2" t="s">
        <v>143</v>
      </c>
      <c r="O17" s="3" t="s">
        <v>64</v>
      </c>
      <c r="P17" s="3" t="s">
        <v>291</v>
      </c>
      <c r="R17" s="3" t="s">
        <v>66</v>
      </c>
      <c r="S17" s="4">
        <v>27</v>
      </c>
      <c r="T17" s="4">
        <v>27</v>
      </c>
      <c r="U17" s="5" t="s">
        <v>292</v>
      </c>
      <c r="V17" s="5" t="s">
        <v>292</v>
      </c>
      <c r="W17" s="5" t="s">
        <v>293</v>
      </c>
      <c r="X17" s="5" t="s">
        <v>293</v>
      </c>
      <c r="Y17" s="4">
        <v>169</v>
      </c>
      <c r="Z17" s="4">
        <v>139</v>
      </c>
      <c r="AA17" s="4">
        <v>145</v>
      </c>
      <c r="AB17" s="4">
        <v>2</v>
      </c>
      <c r="AC17" s="4">
        <v>2</v>
      </c>
      <c r="AD17" s="4">
        <v>1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HYPERLINK("https://creighton-primo.hosted.exlibrisgroup.com/primo-explore/search?tab=default_tab&amp;search_scope=EVERYTHING&amp;vid=01CRU&amp;lang=en_US&amp;offset=0&amp;query=any,contains,991001180049702656","Catalog Record")</f>
        <v>Catalog Record</v>
      </c>
      <c r="AT17" s="6" t="str">
        <f>HYPERLINK("http://www.worldcat.org/oclc/17107398","WorldCat Record")</f>
        <v>WorldCat Record</v>
      </c>
      <c r="AU17" s="3" t="s">
        <v>294</v>
      </c>
      <c r="AV17" s="3" t="s">
        <v>295</v>
      </c>
      <c r="AW17" s="3" t="s">
        <v>296</v>
      </c>
      <c r="AX17" s="3" t="s">
        <v>296</v>
      </c>
      <c r="AY17" s="3" t="s">
        <v>297</v>
      </c>
      <c r="AZ17" s="3" t="s">
        <v>73</v>
      </c>
      <c r="BB17" s="3" t="s">
        <v>298</v>
      </c>
      <c r="BC17" s="3" t="s">
        <v>299</v>
      </c>
      <c r="BD17" s="3" t="s">
        <v>300</v>
      </c>
    </row>
    <row r="18" spans="1:56" ht="40.5" customHeight="1" x14ac:dyDescent="0.25">
      <c r="A18" s="8" t="s">
        <v>58</v>
      </c>
      <c r="B18" s="2" t="s">
        <v>301</v>
      </c>
      <c r="C18" s="2" t="s">
        <v>302</v>
      </c>
      <c r="D18" s="2" t="s">
        <v>303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304</v>
      </c>
      <c r="L18" s="2" t="s">
        <v>305</v>
      </c>
      <c r="M18" s="3" t="s">
        <v>306</v>
      </c>
      <c r="N18" s="2" t="s">
        <v>174</v>
      </c>
      <c r="O18" s="3" t="s">
        <v>64</v>
      </c>
      <c r="P18" s="3" t="s">
        <v>65</v>
      </c>
      <c r="R18" s="3" t="s">
        <v>66</v>
      </c>
      <c r="S18" s="4">
        <v>34</v>
      </c>
      <c r="T18" s="4">
        <v>34</v>
      </c>
      <c r="U18" s="5" t="s">
        <v>307</v>
      </c>
      <c r="V18" s="5" t="s">
        <v>307</v>
      </c>
      <c r="W18" s="5" t="s">
        <v>308</v>
      </c>
      <c r="X18" s="5" t="s">
        <v>308</v>
      </c>
      <c r="Y18" s="4">
        <v>300</v>
      </c>
      <c r="Z18" s="4">
        <v>270</v>
      </c>
      <c r="AA18" s="4">
        <v>531</v>
      </c>
      <c r="AB18" s="4">
        <v>2</v>
      </c>
      <c r="AC18" s="4">
        <v>3</v>
      </c>
      <c r="AD18" s="4">
        <v>2</v>
      </c>
      <c r="AE18" s="4">
        <v>11</v>
      </c>
      <c r="AF18" s="4">
        <v>1</v>
      </c>
      <c r="AG18" s="4">
        <v>5</v>
      </c>
      <c r="AH18" s="4">
        <v>0</v>
      </c>
      <c r="AI18" s="4">
        <v>3</v>
      </c>
      <c r="AJ18" s="4">
        <v>0</v>
      </c>
      <c r="AK18" s="4">
        <v>2</v>
      </c>
      <c r="AL18" s="4">
        <v>1</v>
      </c>
      <c r="AM18" s="4">
        <v>2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HYPERLINK("https://creighton-primo.hosted.exlibrisgroup.com/primo-explore/search?tab=default_tab&amp;search_scope=EVERYTHING&amp;vid=01CRU&amp;lang=en_US&amp;offset=0&amp;query=any,contains,991002708029702656","Catalog Record")</f>
        <v>Catalog Record</v>
      </c>
      <c r="AT18" s="6" t="str">
        <f>HYPERLINK("http://www.worldcat.org/oclc/35366380","WorldCat Record")</f>
        <v>WorldCat Record</v>
      </c>
      <c r="AU18" s="3" t="s">
        <v>309</v>
      </c>
      <c r="AV18" s="3" t="s">
        <v>310</v>
      </c>
      <c r="AW18" s="3" t="s">
        <v>311</v>
      </c>
      <c r="AX18" s="3" t="s">
        <v>311</v>
      </c>
      <c r="AY18" s="3" t="s">
        <v>312</v>
      </c>
      <c r="AZ18" s="3" t="s">
        <v>73</v>
      </c>
      <c r="BB18" s="3" t="s">
        <v>313</v>
      </c>
      <c r="BC18" s="3" t="s">
        <v>314</v>
      </c>
      <c r="BD18" s="3" t="s">
        <v>315</v>
      </c>
    </row>
    <row r="19" spans="1:56" ht="40.5" customHeight="1" x14ac:dyDescent="0.25">
      <c r="A19" s="8" t="s">
        <v>58</v>
      </c>
      <c r="B19" s="2" t="s">
        <v>316</v>
      </c>
      <c r="C19" s="2" t="s">
        <v>317</v>
      </c>
      <c r="D19" s="2" t="s">
        <v>318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319</v>
      </c>
      <c r="L19" s="2" t="s">
        <v>320</v>
      </c>
      <c r="M19" s="3" t="s">
        <v>321</v>
      </c>
      <c r="O19" s="3" t="s">
        <v>64</v>
      </c>
      <c r="P19" s="3" t="s">
        <v>96</v>
      </c>
      <c r="Q19" s="2" t="s">
        <v>322</v>
      </c>
      <c r="R19" s="3" t="s">
        <v>66</v>
      </c>
      <c r="S19" s="4">
        <v>7</v>
      </c>
      <c r="T19" s="4">
        <v>7</v>
      </c>
      <c r="U19" s="5" t="s">
        <v>323</v>
      </c>
      <c r="V19" s="5" t="s">
        <v>323</v>
      </c>
      <c r="W19" s="5" t="s">
        <v>293</v>
      </c>
      <c r="X19" s="5" t="s">
        <v>293</v>
      </c>
      <c r="Y19" s="4">
        <v>165</v>
      </c>
      <c r="Z19" s="4">
        <v>140</v>
      </c>
      <c r="AA19" s="4">
        <v>154</v>
      </c>
      <c r="AB19" s="4">
        <v>1</v>
      </c>
      <c r="AC19" s="4">
        <v>1</v>
      </c>
      <c r="AD19" s="4">
        <v>2</v>
      </c>
      <c r="AE19" s="4">
        <v>4</v>
      </c>
      <c r="AF19" s="4">
        <v>2</v>
      </c>
      <c r="AG19" s="4">
        <v>3</v>
      </c>
      <c r="AH19" s="4">
        <v>0</v>
      </c>
      <c r="AI19" s="4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3" t="s">
        <v>58</v>
      </c>
      <c r="AQ19" s="3" t="s">
        <v>115</v>
      </c>
      <c r="AR19" s="6" t="str">
        <f>HYPERLINK("http://catalog.hathitrust.org/Record/009146524","HathiTrust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HYPERLINK("https://creighton-primo.hosted.exlibrisgroup.com/primo-explore/search?tab=default_tab&amp;search_scope=EVERYTHING&amp;vid=01CRU&amp;lang=en_US&amp;offset=0&amp;query=any,contains,991005264569702656","Catalog Record")</f>
        <v>Catalog Record</v>
      </c>
      <c r="AT19" s="6" t="str">
        <f>HYPERLINK("http://www.worldcat.org/oclc/2875361","WorldCat Record")</f>
        <v>WorldCat Record</v>
      </c>
      <c r="AU19" s="3" t="s">
        <v>324</v>
      </c>
      <c r="AV19" s="3" t="s">
        <v>325</v>
      </c>
      <c r="AW19" s="3" t="s">
        <v>326</v>
      </c>
      <c r="AX19" s="3" t="s">
        <v>326</v>
      </c>
      <c r="AY19" s="3" t="s">
        <v>327</v>
      </c>
      <c r="AZ19" s="3" t="s">
        <v>73</v>
      </c>
      <c r="BB19" s="3" t="s">
        <v>328</v>
      </c>
      <c r="BC19" s="3" t="s">
        <v>329</v>
      </c>
      <c r="BD19" s="3" t="s">
        <v>330</v>
      </c>
    </row>
    <row r="20" spans="1:56" ht="40.5" customHeight="1" x14ac:dyDescent="0.25">
      <c r="A20" s="8" t="s">
        <v>58</v>
      </c>
      <c r="B20" s="2" t="s">
        <v>331</v>
      </c>
      <c r="C20" s="2" t="s">
        <v>332</v>
      </c>
      <c r="D20" s="2" t="s">
        <v>333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334</v>
      </c>
      <c r="L20" s="2" t="s">
        <v>335</v>
      </c>
      <c r="M20" s="3" t="s">
        <v>336</v>
      </c>
      <c r="O20" s="3" t="s">
        <v>64</v>
      </c>
      <c r="P20" s="3" t="s">
        <v>337</v>
      </c>
      <c r="R20" s="3" t="s">
        <v>66</v>
      </c>
      <c r="S20" s="4">
        <v>17</v>
      </c>
      <c r="T20" s="4">
        <v>17</v>
      </c>
      <c r="U20" s="5" t="s">
        <v>338</v>
      </c>
      <c r="V20" s="5" t="s">
        <v>338</v>
      </c>
      <c r="W20" s="5" t="s">
        <v>237</v>
      </c>
      <c r="X20" s="5" t="s">
        <v>237</v>
      </c>
      <c r="Y20" s="4">
        <v>118</v>
      </c>
      <c r="Z20" s="4">
        <v>114</v>
      </c>
      <c r="AA20" s="4">
        <v>114</v>
      </c>
      <c r="AB20" s="4">
        <v>3</v>
      </c>
      <c r="AC20" s="4">
        <v>3</v>
      </c>
      <c r="AD20" s="4">
        <v>3</v>
      </c>
      <c r="AE20" s="4">
        <v>3</v>
      </c>
      <c r="AF20" s="4">
        <v>1</v>
      </c>
      <c r="AG20" s="4">
        <v>1</v>
      </c>
      <c r="AH20" s="4">
        <v>0</v>
      </c>
      <c r="AI20" s="4">
        <v>0</v>
      </c>
      <c r="AJ20" s="4">
        <v>0</v>
      </c>
      <c r="AK20" s="4">
        <v>0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HYPERLINK("https://creighton-primo.hosted.exlibrisgroup.com/primo-explore/search?tab=default_tab&amp;search_scope=EVERYTHING&amp;vid=01CRU&amp;lang=en_US&amp;offset=0&amp;query=any,contains,991005047679702656","Catalog Record")</f>
        <v>Catalog Record</v>
      </c>
      <c r="AT20" s="6" t="str">
        <f>HYPERLINK("http://www.worldcat.org/oclc/6861394","WorldCat Record")</f>
        <v>WorldCat Record</v>
      </c>
      <c r="AU20" s="3" t="s">
        <v>339</v>
      </c>
      <c r="AV20" s="3" t="s">
        <v>340</v>
      </c>
      <c r="AW20" s="3" t="s">
        <v>341</v>
      </c>
      <c r="AX20" s="3" t="s">
        <v>341</v>
      </c>
      <c r="AY20" s="3" t="s">
        <v>342</v>
      </c>
      <c r="AZ20" s="3" t="s">
        <v>73</v>
      </c>
      <c r="BB20" s="3" t="s">
        <v>343</v>
      </c>
      <c r="BC20" s="3" t="s">
        <v>344</v>
      </c>
      <c r="BD20" s="3" t="s">
        <v>345</v>
      </c>
    </row>
    <row r="21" spans="1:56" ht="40.5" customHeight="1" x14ac:dyDescent="0.25">
      <c r="A21" s="8" t="s">
        <v>58</v>
      </c>
      <c r="B21" s="2" t="s">
        <v>346</v>
      </c>
      <c r="C21" s="2" t="s">
        <v>347</v>
      </c>
      <c r="D21" s="2" t="s">
        <v>348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349</v>
      </c>
      <c r="L21" s="2" t="s">
        <v>350</v>
      </c>
      <c r="M21" s="3" t="s">
        <v>173</v>
      </c>
      <c r="N21" s="2" t="s">
        <v>174</v>
      </c>
      <c r="O21" s="3" t="s">
        <v>64</v>
      </c>
      <c r="P21" s="3" t="s">
        <v>65</v>
      </c>
      <c r="R21" s="3" t="s">
        <v>66</v>
      </c>
      <c r="S21" s="4">
        <v>5</v>
      </c>
      <c r="T21" s="4">
        <v>5</v>
      </c>
      <c r="U21" s="5" t="s">
        <v>351</v>
      </c>
      <c r="V21" s="5" t="s">
        <v>351</v>
      </c>
      <c r="W21" s="5" t="s">
        <v>352</v>
      </c>
      <c r="X21" s="5" t="s">
        <v>352</v>
      </c>
      <c r="Y21" s="4">
        <v>1602</v>
      </c>
      <c r="Z21" s="4">
        <v>1527</v>
      </c>
      <c r="AA21" s="4">
        <v>1684</v>
      </c>
      <c r="AB21" s="4">
        <v>15</v>
      </c>
      <c r="AC21" s="4">
        <v>15</v>
      </c>
      <c r="AD21" s="4">
        <v>6</v>
      </c>
      <c r="AE21" s="4">
        <v>8</v>
      </c>
      <c r="AF21" s="4">
        <v>3</v>
      </c>
      <c r="AG21" s="4">
        <v>4</v>
      </c>
      <c r="AH21" s="4">
        <v>0</v>
      </c>
      <c r="AI21" s="4">
        <v>1</v>
      </c>
      <c r="AJ21" s="4">
        <v>2</v>
      </c>
      <c r="AK21" s="4">
        <v>2</v>
      </c>
      <c r="AL21" s="4">
        <v>0</v>
      </c>
      <c r="AM21" s="4">
        <v>0</v>
      </c>
      <c r="AN21" s="4">
        <v>1</v>
      </c>
      <c r="AO21" s="4">
        <v>1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HYPERLINK("https://creighton-primo.hosted.exlibrisgroup.com/primo-explore/search?tab=default_tab&amp;search_scope=EVERYTHING&amp;vid=01CRU&amp;lang=en_US&amp;offset=0&amp;query=any,contains,991005007749702656","Catalog Record")</f>
        <v>Catalog Record</v>
      </c>
      <c r="AT21" s="6" t="str">
        <f>HYPERLINK("http://www.worldcat.org/oclc/32394216","WorldCat Record")</f>
        <v>WorldCat Record</v>
      </c>
      <c r="AU21" s="3" t="s">
        <v>353</v>
      </c>
      <c r="AV21" s="3" t="s">
        <v>354</v>
      </c>
      <c r="AW21" s="3" t="s">
        <v>355</v>
      </c>
      <c r="AX21" s="3" t="s">
        <v>355</v>
      </c>
      <c r="AY21" s="3" t="s">
        <v>356</v>
      </c>
      <c r="AZ21" s="3" t="s">
        <v>73</v>
      </c>
      <c r="BB21" s="3" t="s">
        <v>357</v>
      </c>
      <c r="BC21" s="3" t="s">
        <v>358</v>
      </c>
      <c r="BD21" s="3" t="s">
        <v>359</v>
      </c>
    </row>
    <row r="22" spans="1:56" ht="40.5" customHeight="1" x14ac:dyDescent="0.25">
      <c r="A22" s="8" t="s">
        <v>58</v>
      </c>
      <c r="B22" s="2" t="s">
        <v>360</v>
      </c>
      <c r="C22" s="2" t="s">
        <v>361</v>
      </c>
      <c r="D22" s="2" t="s">
        <v>362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363</v>
      </c>
      <c r="L22" s="2" t="s">
        <v>364</v>
      </c>
      <c r="M22" s="3" t="s">
        <v>365</v>
      </c>
      <c r="O22" s="3" t="s">
        <v>64</v>
      </c>
      <c r="P22" s="3" t="s">
        <v>65</v>
      </c>
      <c r="R22" s="3" t="s">
        <v>66</v>
      </c>
      <c r="S22" s="4">
        <v>13</v>
      </c>
      <c r="T22" s="4">
        <v>13</v>
      </c>
      <c r="U22" s="5" t="s">
        <v>366</v>
      </c>
      <c r="V22" s="5" t="s">
        <v>366</v>
      </c>
      <c r="W22" s="5" t="s">
        <v>367</v>
      </c>
      <c r="X22" s="5" t="s">
        <v>367</v>
      </c>
      <c r="Y22" s="4">
        <v>736</v>
      </c>
      <c r="Z22" s="4">
        <v>623</v>
      </c>
      <c r="AA22" s="4">
        <v>738</v>
      </c>
      <c r="AB22" s="4">
        <v>2</v>
      </c>
      <c r="AC22" s="4">
        <v>3</v>
      </c>
      <c r="AD22" s="4">
        <v>25</v>
      </c>
      <c r="AE22" s="4">
        <v>32</v>
      </c>
      <c r="AF22" s="4">
        <v>12</v>
      </c>
      <c r="AG22" s="4">
        <v>18</v>
      </c>
      <c r="AH22" s="4">
        <v>6</v>
      </c>
      <c r="AI22" s="4">
        <v>7</v>
      </c>
      <c r="AJ22" s="4">
        <v>14</v>
      </c>
      <c r="AK22" s="4">
        <v>14</v>
      </c>
      <c r="AL22" s="4">
        <v>1</v>
      </c>
      <c r="AM22" s="4">
        <v>2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HYPERLINK("https://creighton-primo.hosted.exlibrisgroup.com/primo-explore/search?tab=default_tab&amp;search_scope=EVERYTHING&amp;vid=01CRU&amp;lang=en_US&amp;offset=0&amp;query=any,contains,991002731509702656","Catalog Record")</f>
        <v>Catalog Record</v>
      </c>
      <c r="AT22" s="6" t="str">
        <f>HYPERLINK("http://www.worldcat.org/oclc/35829805","WorldCat Record")</f>
        <v>WorldCat Record</v>
      </c>
      <c r="AU22" s="3" t="s">
        <v>368</v>
      </c>
      <c r="AV22" s="3" t="s">
        <v>369</v>
      </c>
      <c r="AW22" s="3" t="s">
        <v>370</v>
      </c>
      <c r="AX22" s="3" t="s">
        <v>370</v>
      </c>
      <c r="AY22" s="3" t="s">
        <v>371</v>
      </c>
      <c r="AZ22" s="3" t="s">
        <v>73</v>
      </c>
      <c r="BB22" s="3" t="s">
        <v>372</v>
      </c>
      <c r="BC22" s="3" t="s">
        <v>373</v>
      </c>
      <c r="BD22" s="3" t="s">
        <v>374</v>
      </c>
    </row>
    <row r="23" spans="1:56" ht="40.5" customHeight="1" x14ac:dyDescent="0.25">
      <c r="A23" s="8" t="s">
        <v>58</v>
      </c>
      <c r="B23" s="2" t="s">
        <v>375</v>
      </c>
      <c r="C23" s="2" t="s">
        <v>376</v>
      </c>
      <c r="D23" s="2" t="s">
        <v>377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378</v>
      </c>
      <c r="L23" s="2" t="s">
        <v>379</v>
      </c>
      <c r="M23" s="3" t="s">
        <v>380</v>
      </c>
      <c r="N23" s="2" t="s">
        <v>174</v>
      </c>
      <c r="O23" s="3" t="s">
        <v>64</v>
      </c>
      <c r="P23" s="3" t="s">
        <v>65</v>
      </c>
      <c r="R23" s="3" t="s">
        <v>66</v>
      </c>
      <c r="S23" s="4">
        <v>27</v>
      </c>
      <c r="T23" s="4">
        <v>27</v>
      </c>
      <c r="U23" s="5" t="s">
        <v>381</v>
      </c>
      <c r="V23" s="5" t="s">
        <v>381</v>
      </c>
      <c r="W23" s="5" t="s">
        <v>382</v>
      </c>
      <c r="X23" s="5" t="s">
        <v>382</v>
      </c>
      <c r="Y23" s="4">
        <v>1407</v>
      </c>
      <c r="Z23" s="4">
        <v>1367</v>
      </c>
      <c r="AA23" s="4">
        <v>1729</v>
      </c>
      <c r="AB23" s="4">
        <v>14</v>
      </c>
      <c r="AC23" s="4">
        <v>19</v>
      </c>
      <c r="AD23" s="4">
        <v>11</v>
      </c>
      <c r="AE23" s="4">
        <v>13</v>
      </c>
      <c r="AF23" s="4">
        <v>4</v>
      </c>
      <c r="AG23" s="4">
        <v>6</v>
      </c>
      <c r="AH23" s="4">
        <v>0</v>
      </c>
      <c r="AI23" s="4">
        <v>0</v>
      </c>
      <c r="AJ23" s="4">
        <v>3</v>
      </c>
      <c r="AK23" s="4">
        <v>3</v>
      </c>
      <c r="AL23" s="4">
        <v>4</v>
      </c>
      <c r="AM23" s="4">
        <v>4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HYPERLINK("https://creighton-primo.hosted.exlibrisgroup.com/primo-explore/search?tab=default_tab&amp;search_scope=EVERYTHING&amp;vid=01CRU&amp;lang=en_US&amp;offset=0&amp;query=any,contains,991002127979702656","Catalog Record")</f>
        <v>Catalog Record</v>
      </c>
      <c r="AT23" s="6" t="str">
        <f>HYPERLINK("http://www.worldcat.org/oclc/27265337","WorldCat Record")</f>
        <v>WorldCat Record</v>
      </c>
      <c r="AU23" s="3" t="s">
        <v>383</v>
      </c>
      <c r="AV23" s="3" t="s">
        <v>384</v>
      </c>
      <c r="AW23" s="3" t="s">
        <v>385</v>
      </c>
      <c r="AX23" s="3" t="s">
        <v>385</v>
      </c>
      <c r="AY23" s="3" t="s">
        <v>386</v>
      </c>
      <c r="AZ23" s="3" t="s">
        <v>73</v>
      </c>
      <c r="BB23" s="3" t="s">
        <v>387</v>
      </c>
      <c r="BC23" s="3" t="s">
        <v>388</v>
      </c>
      <c r="BD23" s="3" t="s">
        <v>389</v>
      </c>
    </row>
    <row r="24" spans="1:56" ht="40.5" customHeight="1" x14ac:dyDescent="0.25">
      <c r="A24" s="8" t="s">
        <v>58</v>
      </c>
      <c r="B24" s="2" t="s">
        <v>390</v>
      </c>
      <c r="C24" s="2" t="s">
        <v>391</v>
      </c>
      <c r="D24" s="2" t="s">
        <v>392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393</v>
      </c>
      <c r="L24" s="2" t="s">
        <v>394</v>
      </c>
      <c r="M24" s="3" t="s">
        <v>395</v>
      </c>
      <c r="O24" s="3" t="s">
        <v>64</v>
      </c>
      <c r="P24" s="3" t="s">
        <v>65</v>
      </c>
      <c r="R24" s="3" t="s">
        <v>66</v>
      </c>
      <c r="S24" s="4">
        <v>2</v>
      </c>
      <c r="T24" s="4">
        <v>2</v>
      </c>
      <c r="U24" s="5" t="s">
        <v>207</v>
      </c>
      <c r="V24" s="5" t="s">
        <v>207</v>
      </c>
      <c r="W24" s="5" t="s">
        <v>396</v>
      </c>
      <c r="X24" s="5" t="s">
        <v>396</v>
      </c>
      <c r="Y24" s="4">
        <v>10</v>
      </c>
      <c r="Z24" s="4">
        <v>9</v>
      </c>
      <c r="AA24" s="4">
        <v>10</v>
      </c>
      <c r="AB24" s="4">
        <v>1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HYPERLINK("https://creighton-primo.hosted.exlibrisgroup.com/primo-explore/search?tab=default_tab&amp;search_scope=EVERYTHING&amp;vid=01CRU&amp;lang=en_US&amp;offset=0&amp;query=any,contains,991000894879702656","Catalog Record")</f>
        <v>Catalog Record</v>
      </c>
      <c r="AT24" s="6" t="str">
        <f>HYPERLINK("http://www.worldcat.org/oclc/155608","WorldCat Record")</f>
        <v>WorldCat Record</v>
      </c>
      <c r="AU24" s="3" t="s">
        <v>397</v>
      </c>
      <c r="AV24" s="3" t="s">
        <v>398</v>
      </c>
      <c r="AW24" s="3" t="s">
        <v>399</v>
      </c>
      <c r="AX24" s="3" t="s">
        <v>399</v>
      </c>
      <c r="AY24" s="3" t="s">
        <v>400</v>
      </c>
      <c r="AZ24" s="3" t="s">
        <v>73</v>
      </c>
      <c r="BC24" s="3" t="s">
        <v>401</v>
      </c>
      <c r="BD24" s="3" t="s">
        <v>402</v>
      </c>
    </row>
    <row r="25" spans="1:56" ht="40.5" customHeight="1" x14ac:dyDescent="0.25">
      <c r="A25" s="8" t="s">
        <v>58</v>
      </c>
      <c r="B25" s="2" t="s">
        <v>403</v>
      </c>
      <c r="C25" s="2" t="s">
        <v>404</v>
      </c>
      <c r="D25" s="2" t="s">
        <v>405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406</v>
      </c>
      <c r="L25" s="2" t="s">
        <v>407</v>
      </c>
      <c r="M25" s="3" t="s">
        <v>408</v>
      </c>
      <c r="O25" s="3" t="s">
        <v>64</v>
      </c>
      <c r="P25" s="3" t="s">
        <v>409</v>
      </c>
      <c r="R25" s="3" t="s">
        <v>66</v>
      </c>
      <c r="S25" s="4">
        <v>14</v>
      </c>
      <c r="T25" s="4">
        <v>14</v>
      </c>
      <c r="U25" s="5" t="s">
        <v>410</v>
      </c>
      <c r="V25" s="5" t="s">
        <v>410</v>
      </c>
      <c r="W25" s="5" t="s">
        <v>411</v>
      </c>
      <c r="X25" s="5" t="s">
        <v>411</v>
      </c>
      <c r="Y25" s="4">
        <v>100</v>
      </c>
      <c r="Z25" s="4">
        <v>89</v>
      </c>
      <c r="AA25" s="4">
        <v>317</v>
      </c>
      <c r="AB25" s="4">
        <v>1</v>
      </c>
      <c r="AC25" s="4">
        <v>4</v>
      </c>
      <c r="AD25" s="4">
        <v>2</v>
      </c>
      <c r="AE25" s="4">
        <v>9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5</v>
      </c>
      <c r="AL25" s="4">
        <v>0</v>
      </c>
      <c r="AM25" s="4">
        <v>3</v>
      </c>
      <c r="AN25" s="4">
        <v>0</v>
      </c>
      <c r="AO25" s="4">
        <v>0</v>
      </c>
      <c r="AP25" s="3" t="s">
        <v>58</v>
      </c>
      <c r="AQ25" s="3" t="s">
        <v>115</v>
      </c>
      <c r="AR25" s="6" t="str">
        <f>HYPERLINK("http://catalog.hathitrust.org/Record/000663951","HathiTrust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HYPERLINK("https://creighton-primo.hosted.exlibrisgroup.com/primo-explore/search?tab=default_tab&amp;search_scope=EVERYTHING&amp;vid=01CRU&amp;lang=en_US&amp;offset=0&amp;query=any,contains,991000615679702656","Catalog Record")</f>
        <v>Catalog Record</v>
      </c>
      <c r="AT25" s="6" t="str">
        <f>HYPERLINK("http://www.worldcat.org/oclc/11933562","WorldCat Record")</f>
        <v>WorldCat Record</v>
      </c>
      <c r="AU25" s="3" t="s">
        <v>412</v>
      </c>
      <c r="AV25" s="3" t="s">
        <v>413</v>
      </c>
      <c r="AW25" s="3" t="s">
        <v>414</v>
      </c>
      <c r="AX25" s="3" t="s">
        <v>414</v>
      </c>
      <c r="AY25" s="3" t="s">
        <v>415</v>
      </c>
      <c r="AZ25" s="3" t="s">
        <v>73</v>
      </c>
      <c r="BB25" s="3" t="s">
        <v>416</v>
      </c>
      <c r="BC25" s="3" t="s">
        <v>417</v>
      </c>
      <c r="BD25" s="3" t="s">
        <v>418</v>
      </c>
    </row>
    <row r="26" spans="1:56" ht="40.5" customHeight="1" x14ac:dyDescent="0.25">
      <c r="A26" s="8" t="s">
        <v>58</v>
      </c>
      <c r="B26" s="2" t="s">
        <v>419</v>
      </c>
      <c r="C26" s="2" t="s">
        <v>420</v>
      </c>
      <c r="D26" s="2" t="s">
        <v>421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422</v>
      </c>
      <c r="L26" s="2" t="s">
        <v>423</v>
      </c>
      <c r="M26" s="3" t="s">
        <v>424</v>
      </c>
      <c r="O26" s="3" t="s">
        <v>64</v>
      </c>
      <c r="P26" s="3" t="s">
        <v>65</v>
      </c>
      <c r="R26" s="3" t="s">
        <v>66</v>
      </c>
      <c r="S26" s="4">
        <v>21</v>
      </c>
      <c r="T26" s="4">
        <v>21</v>
      </c>
      <c r="U26" s="5" t="s">
        <v>425</v>
      </c>
      <c r="V26" s="5" t="s">
        <v>425</v>
      </c>
      <c r="W26" s="5" t="s">
        <v>426</v>
      </c>
      <c r="X26" s="5" t="s">
        <v>426</v>
      </c>
      <c r="Y26" s="4">
        <v>663</v>
      </c>
      <c r="Z26" s="4">
        <v>616</v>
      </c>
      <c r="AA26" s="4">
        <v>622</v>
      </c>
      <c r="AB26" s="4">
        <v>5</v>
      </c>
      <c r="AC26" s="4">
        <v>5</v>
      </c>
      <c r="AD26" s="4">
        <v>16</v>
      </c>
      <c r="AE26" s="4">
        <v>16</v>
      </c>
      <c r="AF26" s="4">
        <v>5</v>
      </c>
      <c r="AG26" s="4">
        <v>5</v>
      </c>
      <c r="AH26" s="4">
        <v>5</v>
      </c>
      <c r="AI26" s="4">
        <v>5</v>
      </c>
      <c r="AJ26" s="4">
        <v>6</v>
      </c>
      <c r="AK26" s="4">
        <v>6</v>
      </c>
      <c r="AL26" s="4">
        <v>2</v>
      </c>
      <c r="AM26" s="4">
        <v>2</v>
      </c>
      <c r="AN26" s="4">
        <v>1</v>
      </c>
      <c r="AO26" s="4">
        <v>1</v>
      </c>
      <c r="AP26" s="3" t="s">
        <v>58</v>
      </c>
      <c r="AQ26" s="3" t="s">
        <v>115</v>
      </c>
      <c r="AR26" s="6" t="str">
        <f>HYPERLINK("http://catalog.hathitrust.org/Record/002886656","HathiTrust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HYPERLINK("https://creighton-primo.hosted.exlibrisgroup.com/primo-explore/search?tab=default_tab&amp;search_scope=EVERYTHING&amp;vid=01CRU&amp;lang=en_US&amp;offset=0&amp;query=any,contains,991002275439702656","Catalog Record")</f>
        <v>Catalog Record</v>
      </c>
      <c r="AT26" s="6" t="str">
        <f>HYPERLINK("http://www.worldcat.org/oclc/29521207","WorldCat Record")</f>
        <v>WorldCat Record</v>
      </c>
      <c r="AU26" s="3" t="s">
        <v>427</v>
      </c>
      <c r="AV26" s="3" t="s">
        <v>428</v>
      </c>
      <c r="AW26" s="3" t="s">
        <v>429</v>
      </c>
      <c r="AX26" s="3" t="s">
        <v>429</v>
      </c>
      <c r="AY26" s="3" t="s">
        <v>430</v>
      </c>
      <c r="AZ26" s="3" t="s">
        <v>73</v>
      </c>
      <c r="BB26" s="3" t="s">
        <v>431</v>
      </c>
      <c r="BC26" s="3" t="s">
        <v>432</v>
      </c>
      <c r="BD26" s="3" t="s">
        <v>433</v>
      </c>
    </row>
    <row r="27" spans="1:56" ht="40.5" customHeight="1" x14ac:dyDescent="0.25">
      <c r="A27" s="8" t="s">
        <v>58</v>
      </c>
      <c r="B27" s="2" t="s">
        <v>434</v>
      </c>
      <c r="C27" s="2" t="s">
        <v>435</v>
      </c>
      <c r="D27" s="2" t="s">
        <v>436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437</v>
      </c>
      <c r="L27" s="2" t="s">
        <v>438</v>
      </c>
      <c r="M27" s="3" t="s">
        <v>235</v>
      </c>
      <c r="O27" s="3" t="s">
        <v>64</v>
      </c>
      <c r="P27" s="3" t="s">
        <v>112</v>
      </c>
      <c r="Q27" s="2" t="s">
        <v>439</v>
      </c>
      <c r="R27" s="3" t="s">
        <v>66</v>
      </c>
      <c r="S27" s="4">
        <v>13</v>
      </c>
      <c r="T27" s="4">
        <v>13</v>
      </c>
      <c r="U27" s="5" t="s">
        <v>440</v>
      </c>
      <c r="V27" s="5" t="s">
        <v>440</v>
      </c>
      <c r="W27" s="5" t="s">
        <v>441</v>
      </c>
      <c r="X27" s="5" t="s">
        <v>441</v>
      </c>
      <c r="Y27" s="4">
        <v>289</v>
      </c>
      <c r="Z27" s="4">
        <v>118</v>
      </c>
      <c r="AA27" s="4">
        <v>120</v>
      </c>
      <c r="AB27" s="4">
        <v>3</v>
      </c>
      <c r="AC27" s="4">
        <v>3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1</v>
      </c>
      <c r="AM27" s="4">
        <v>1</v>
      </c>
      <c r="AN27" s="4">
        <v>0</v>
      </c>
      <c r="AO27" s="4">
        <v>0</v>
      </c>
      <c r="AP27" s="3" t="s">
        <v>58</v>
      </c>
      <c r="AQ27" s="3" t="s">
        <v>115</v>
      </c>
      <c r="AR27" s="6" t="str">
        <f>HYPERLINK("http://catalog.hathitrust.org/Record/000024482","HathiTrust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HYPERLINK("https://creighton-primo.hosted.exlibrisgroup.com/primo-explore/search?tab=default_tab&amp;search_scope=EVERYTHING&amp;vid=01CRU&amp;lang=en_US&amp;offset=0&amp;query=any,contains,991004554669702656","Catalog Record")</f>
        <v>Catalog Record</v>
      </c>
      <c r="AT27" s="6" t="str">
        <f>HYPERLINK("http://www.worldcat.org/oclc/3962612","WorldCat Record")</f>
        <v>WorldCat Record</v>
      </c>
      <c r="AU27" s="3" t="s">
        <v>442</v>
      </c>
      <c r="AV27" s="3" t="s">
        <v>443</v>
      </c>
      <c r="AW27" s="3" t="s">
        <v>444</v>
      </c>
      <c r="AX27" s="3" t="s">
        <v>444</v>
      </c>
      <c r="AY27" s="3" t="s">
        <v>445</v>
      </c>
      <c r="AZ27" s="3" t="s">
        <v>73</v>
      </c>
      <c r="BB27" s="3" t="s">
        <v>446</v>
      </c>
      <c r="BC27" s="3" t="s">
        <v>447</v>
      </c>
      <c r="BD27" s="3" t="s">
        <v>448</v>
      </c>
    </row>
    <row r="28" spans="1:56" ht="40.5" customHeight="1" x14ac:dyDescent="0.25">
      <c r="A28" s="8" t="s">
        <v>58</v>
      </c>
      <c r="B28" s="2" t="s">
        <v>449</v>
      </c>
      <c r="C28" s="2" t="s">
        <v>450</v>
      </c>
      <c r="D28" s="2" t="s">
        <v>451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452</v>
      </c>
      <c r="L28" s="2" t="s">
        <v>453</v>
      </c>
      <c r="M28" s="3" t="s">
        <v>454</v>
      </c>
      <c r="O28" s="3" t="s">
        <v>64</v>
      </c>
      <c r="P28" s="3" t="s">
        <v>65</v>
      </c>
      <c r="R28" s="3" t="s">
        <v>66</v>
      </c>
      <c r="S28" s="4">
        <v>4</v>
      </c>
      <c r="T28" s="4">
        <v>4</v>
      </c>
      <c r="U28" s="5" t="s">
        <v>455</v>
      </c>
      <c r="V28" s="5" t="s">
        <v>455</v>
      </c>
      <c r="W28" s="5" t="s">
        <v>456</v>
      </c>
      <c r="X28" s="5" t="s">
        <v>456</v>
      </c>
      <c r="Y28" s="4">
        <v>203</v>
      </c>
      <c r="Z28" s="4">
        <v>147</v>
      </c>
      <c r="AA28" s="4">
        <v>164</v>
      </c>
      <c r="AB28" s="4">
        <v>2</v>
      </c>
      <c r="AC28" s="4">
        <v>2</v>
      </c>
      <c r="AD28" s="4">
        <v>4</v>
      </c>
      <c r="AE28" s="4">
        <v>4</v>
      </c>
      <c r="AF28" s="4">
        <v>1</v>
      </c>
      <c r="AG28" s="4">
        <v>1</v>
      </c>
      <c r="AH28" s="4">
        <v>2</v>
      </c>
      <c r="AI28" s="4">
        <v>2</v>
      </c>
      <c r="AJ28" s="4">
        <v>2</v>
      </c>
      <c r="AK28" s="4">
        <v>2</v>
      </c>
      <c r="AL28" s="4">
        <v>0</v>
      </c>
      <c r="AM28" s="4">
        <v>0</v>
      </c>
      <c r="AN28" s="4">
        <v>0</v>
      </c>
      <c r="AO28" s="4">
        <v>0</v>
      </c>
      <c r="AP28" s="3" t="s">
        <v>115</v>
      </c>
      <c r="AQ28" s="3" t="s">
        <v>115</v>
      </c>
      <c r="AR28" s="6" t="str">
        <f>HYPERLINK("http://catalog.hathitrust.org/Record/009953801","HathiTrust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HYPERLINK("https://creighton-primo.hosted.exlibrisgroup.com/primo-explore/search?tab=default_tab&amp;search_scope=EVERYTHING&amp;vid=01CRU&amp;lang=en_US&amp;offset=0&amp;query=any,contains,991005266499702656","Catalog Record")</f>
        <v>Catalog Record</v>
      </c>
      <c r="AT28" s="6" t="str">
        <f>HYPERLINK("http://www.worldcat.org/oclc/14615096","WorldCat Record")</f>
        <v>WorldCat Record</v>
      </c>
      <c r="AU28" s="3" t="s">
        <v>457</v>
      </c>
      <c r="AV28" s="3" t="s">
        <v>458</v>
      </c>
      <c r="AW28" s="3" t="s">
        <v>459</v>
      </c>
      <c r="AX28" s="3" t="s">
        <v>459</v>
      </c>
      <c r="AY28" s="3" t="s">
        <v>460</v>
      </c>
      <c r="AZ28" s="3" t="s">
        <v>73</v>
      </c>
      <c r="BC28" s="3" t="s">
        <v>461</v>
      </c>
      <c r="BD28" s="3" t="s">
        <v>462</v>
      </c>
    </row>
    <row r="29" spans="1:56" ht="40.5" customHeight="1" x14ac:dyDescent="0.25">
      <c r="A29" s="8" t="s">
        <v>58</v>
      </c>
      <c r="B29" s="2" t="s">
        <v>463</v>
      </c>
      <c r="C29" s="2" t="s">
        <v>464</v>
      </c>
      <c r="D29" s="2" t="s">
        <v>465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466</v>
      </c>
      <c r="L29" s="2" t="s">
        <v>467</v>
      </c>
      <c r="M29" s="3" t="s">
        <v>468</v>
      </c>
      <c r="O29" s="3" t="s">
        <v>64</v>
      </c>
      <c r="P29" s="3" t="s">
        <v>144</v>
      </c>
      <c r="R29" s="3" t="s">
        <v>66</v>
      </c>
      <c r="S29" s="4">
        <v>2</v>
      </c>
      <c r="T29" s="4">
        <v>2</v>
      </c>
      <c r="U29" s="5" t="s">
        <v>410</v>
      </c>
      <c r="V29" s="5" t="s">
        <v>410</v>
      </c>
      <c r="W29" s="5" t="s">
        <v>469</v>
      </c>
      <c r="X29" s="5" t="s">
        <v>469</v>
      </c>
      <c r="Y29" s="4">
        <v>168</v>
      </c>
      <c r="Z29" s="4">
        <v>138</v>
      </c>
      <c r="AA29" s="4">
        <v>163</v>
      </c>
      <c r="AB29" s="4">
        <v>2</v>
      </c>
      <c r="AC29" s="4">
        <v>2</v>
      </c>
      <c r="AD29" s="4">
        <v>7</v>
      </c>
      <c r="AE29" s="4">
        <v>9</v>
      </c>
      <c r="AF29" s="4">
        <v>5</v>
      </c>
      <c r="AG29" s="4">
        <v>6</v>
      </c>
      <c r="AH29" s="4">
        <v>0</v>
      </c>
      <c r="AI29" s="4">
        <v>2</v>
      </c>
      <c r="AJ29" s="4">
        <v>2</v>
      </c>
      <c r="AK29" s="4">
        <v>2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HYPERLINK("https://creighton-primo.hosted.exlibrisgroup.com/primo-explore/search?tab=default_tab&amp;search_scope=EVERYTHING&amp;vid=01CRU&amp;lang=en_US&amp;offset=0&amp;query=any,contains,991004512689702656","Catalog Record")</f>
        <v>Catalog Record</v>
      </c>
      <c r="AT29" s="6" t="str">
        <f>HYPERLINK("http://www.worldcat.org/oclc/57123727","WorldCat Record")</f>
        <v>WorldCat Record</v>
      </c>
      <c r="AU29" s="3" t="s">
        <v>470</v>
      </c>
      <c r="AV29" s="3" t="s">
        <v>471</v>
      </c>
      <c r="AW29" s="3" t="s">
        <v>472</v>
      </c>
      <c r="AX29" s="3" t="s">
        <v>472</v>
      </c>
      <c r="AY29" s="3" t="s">
        <v>473</v>
      </c>
      <c r="AZ29" s="3" t="s">
        <v>73</v>
      </c>
      <c r="BB29" s="3" t="s">
        <v>474</v>
      </c>
      <c r="BC29" s="3" t="s">
        <v>475</v>
      </c>
      <c r="BD29" s="3" t="s">
        <v>476</v>
      </c>
    </row>
    <row r="30" spans="1:56" ht="40.5" customHeight="1" x14ac:dyDescent="0.25">
      <c r="A30" s="8" t="s">
        <v>58</v>
      </c>
      <c r="B30" s="2" t="s">
        <v>477</v>
      </c>
      <c r="C30" s="2" t="s">
        <v>478</v>
      </c>
      <c r="D30" s="2" t="s">
        <v>479</v>
      </c>
      <c r="E30" s="3" t="s">
        <v>480</v>
      </c>
      <c r="F30" s="3" t="s">
        <v>115</v>
      </c>
      <c r="G30" s="3" t="s">
        <v>59</v>
      </c>
      <c r="H30" s="3" t="s">
        <v>115</v>
      </c>
      <c r="I30" s="3" t="s">
        <v>58</v>
      </c>
      <c r="J30" s="3" t="s">
        <v>60</v>
      </c>
      <c r="K30" s="2" t="s">
        <v>481</v>
      </c>
      <c r="L30" s="2" t="s">
        <v>482</v>
      </c>
      <c r="M30" s="3" t="s">
        <v>483</v>
      </c>
      <c r="O30" s="3" t="s">
        <v>64</v>
      </c>
      <c r="P30" s="3" t="s">
        <v>112</v>
      </c>
      <c r="R30" s="3" t="s">
        <v>66</v>
      </c>
      <c r="S30" s="4">
        <v>0</v>
      </c>
      <c r="T30" s="4">
        <v>5</v>
      </c>
      <c r="V30" s="5" t="s">
        <v>484</v>
      </c>
      <c r="W30" s="5" t="s">
        <v>396</v>
      </c>
      <c r="X30" s="5" t="s">
        <v>396</v>
      </c>
      <c r="Y30" s="4">
        <v>163</v>
      </c>
      <c r="Z30" s="4">
        <v>107</v>
      </c>
      <c r="AA30" s="4">
        <v>109</v>
      </c>
      <c r="AB30" s="4">
        <v>3</v>
      </c>
      <c r="AC30" s="4">
        <v>3</v>
      </c>
      <c r="AD30" s="4">
        <v>5</v>
      </c>
      <c r="AE30" s="4">
        <v>5</v>
      </c>
      <c r="AF30" s="4">
        <v>3</v>
      </c>
      <c r="AG30" s="4">
        <v>3</v>
      </c>
      <c r="AH30" s="4">
        <v>0</v>
      </c>
      <c r="AI30" s="4">
        <v>0</v>
      </c>
      <c r="AJ30" s="4">
        <v>1</v>
      </c>
      <c r="AK30" s="4">
        <v>1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115</v>
      </c>
      <c r="AR30" s="6" t="str">
        <f>HYPERLINK("http://catalog.hathitrust.org/Record/000758714","HathiTrust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HYPERLINK("https://creighton-primo.hosted.exlibrisgroup.com/primo-explore/search?tab=default_tab&amp;search_scope=EVERYTHING&amp;vid=01CRU&amp;lang=en_US&amp;offset=0&amp;query=any,contains,991001777549702656","Catalog Record")</f>
        <v>Catalog Record</v>
      </c>
      <c r="AT30" s="6" t="str">
        <f>HYPERLINK("http://www.worldcat.org/oclc/5513552","WorldCat Record")</f>
        <v>WorldCat Record</v>
      </c>
      <c r="AU30" s="3" t="s">
        <v>485</v>
      </c>
      <c r="AV30" s="3" t="s">
        <v>486</v>
      </c>
      <c r="AW30" s="3" t="s">
        <v>487</v>
      </c>
      <c r="AX30" s="3" t="s">
        <v>487</v>
      </c>
      <c r="AY30" s="3" t="s">
        <v>488</v>
      </c>
      <c r="AZ30" s="3" t="s">
        <v>73</v>
      </c>
      <c r="BB30" s="3" t="s">
        <v>489</v>
      </c>
      <c r="BC30" s="3" t="s">
        <v>490</v>
      </c>
      <c r="BD30" s="3" t="s">
        <v>491</v>
      </c>
    </row>
    <row r="31" spans="1:56" ht="40.5" customHeight="1" x14ac:dyDescent="0.25">
      <c r="A31" s="8" t="s">
        <v>58</v>
      </c>
      <c r="B31" s="2" t="s">
        <v>477</v>
      </c>
      <c r="C31" s="2" t="s">
        <v>478</v>
      </c>
      <c r="D31" s="2" t="s">
        <v>479</v>
      </c>
      <c r="E31" s="3" t="s">
        <v>492</v>
      </c>
      <c r="F31" s="3" t="s">
        <v>115</v>
      </c>
      <c r="G31" s="3" t="s">
        <v>59</v>
      </c>
      <c r="H31" s="3" t="s">
        <v>115</v>
      </c>
      <c r="I31" s="3" t="s">
        <v>58</v>
      </c>
      <c r="J31" s="3" t="s">
        <v>60</v>
      </c>
      <c r="K31" s="2" t="s">
        <v>481</v>
      </c>
      <c r="L31" s="2" t="s">
        <v>482</v>
      </c>
      <c r="M31" s="3" t="s">
        <v>483</v>
      </c>
      <c r="O31" s="3" t="s">
        <v>64</v>
      </c>
      <c r="P31" s="3" t="s">
        <v>112</v>
      </c>
      <c r="R31" s="3" t="s">
        <v>66</v>
      </c>
      <c r="S31" s="4">
        <v>0</v>
      </c>
      <c r="T31" s="4">
        <v>5</v>
      </c>
      <c r="V31" s="5" t="s">
        <v>484</v>
      </c>
      <c r="W31" s="5" t="s">
        <v>396</v>
      </c>
      <c r="X31" s="5" t="s">
        <v>396</v>
      </c>
      <c r="Y31" s="4">
        <v>163</v>
      </c>
      <c r="Z31" s="4">
        <v>107</v>
      </c>
      <c r="AA31" s="4">
        <v>109</v>
      </c>
      <c r="AB31" s="4">
        <v>3</v>
      </c>
      <c r="AC31" s="4">
        <v>3</v>
      </c>
      <c r="AD31" s="4">
        <v>5</v>
      </c>
      <c r="AE31" s="4">
        <v>5</v>
      </c>
      <c r="AF31" s="4">
        <v>3</v>
      </c>
      <c r="AG31" s="4">
        <v>3</v>
      </c>
      <c r="AH31" s="4">
        <v>0</v>
      </c>
      <c r="AI31" s="4">
        <v>0</v>
      </c>
      <c r="AJ31" s="4">
        <v>1</v>
      </c>
      <c r="AK31" s="4">
        <v>1</v>
      </c>
      <c r="AL31" s="4">
        <v>1</v>
      </c>
      <c r="AM31" s="4">
        <v>1</v>
      </c>
      <c r="AN31" s="4">
        <v>0</v>
      </c>
      <c r="AO31" s="4">
        <v>0</v>
      </c>
      <c r="AP31" s="3" t="s">
        <v>58</v>
      </c>
      <c r="AQ31" s="3" t="s">
        <v>115</v>
      </c>
      <c r="AR31" s="6" t="str">
        <f>HYPERLINK("http://catalog.hathitrust.org/Record/000758714","HathiTrust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HYPERLINK("https://creighton-primo.hosted.exlibrisgroup.com/primo-explore/search?tab=default_tab&amp;search_scope=EVERYTHING&amp;vid=01CRU&amp;lang=en_US&amp;offset=0&amp;query=any,contains,991001777549702656","Catalog Record")</f>
        <v>Catalog Record</v>
      </c>
      <c r="AT31" s="6" t="str">
        <f>HYPERLINK("http://www.worldcat.org/oclc/5513552","WorldCat Record")</f>
        <v>WorldCat Record</v>
      </c>
      <c r="AU31" s="3" t="s">
        <v>485</v>
      </c>
      <c r="AV31" s="3" t="s">
        <v>486</v>
      </c>
      <c r="AW31" s="3" t="s">
        <v>487</v>
      </c>
      <c r="AX31" s="3" t="s">
        <v>487</v>
      </c>
      <c r="AY31" s="3" t="s">
        <v>488</v>
      </c>
      <c r="AZ31" s="3" t="s">
        <v>73</v>
      </c>
      <c r="BB31" s="3" t="s">
        <v>489</v>
      </c>
      <c r="BC31" s="3" t="s">
        <v>493</v>
      </c>
      <c r="BD31" s="3" t="s">
        <v>494</v>
      </c>
    </row>
    <row r="32" spans="1:56" ht="40.5" customHeight="1" x14ac:dyDescent="0.25">
      <c r="A32" s="8" t="s">
        <v>58</v>
      </c>
      <c r="B32" s="2" t="s">
        <v>495</v>
      </c>
      <c r="C32" s="2" t="s">
        <v>496</v>
      </c>
      <c r="D32" s="2" t="s">
        <v>497</v>
      </c>
      <c r="F32" s="3" t="s">
        <v>58</v>
      </c>
      <c r="G32" s="3" t="s">
        <v>59</v>
      </c>
      <c r="H32" s="3" t="s">
        <v>115</v>
      </c>
      <c r="I32" s="3" t="s">
        <v>58</v>
      </c>
      <c r="J32" s="3" t="s">
        <v>60</v>
      </c>
      <c r="K32" s="2" t="s">
        <v>498</v>
      </c>
      <c r="L32" s="2" t="s">
        <v>499</v>
      </c>
      <c r="M32" s="3" t="s">
        <v>336</v>
      </c>
      <c r="O32" s="3" t="s">
        <v>64</v>
      </c>
      <c r="P32" s="3" t="s">
        <v>112</v>
      </c>
      <c r="R32" s="3" t="s">
        <v>66</v>
      </c>
      <c r="S32" s="4">
        <v>6</v>
      </c>
      <c r="T32" s="4">
        <v>29</v>
      </c>
      <c r="U32" s="5" t="s">
        <v>500</v>
      </c>
      <c r="V32" s="5" t="s">
        <v>501</v>
      </c>
      <c r="W32" s="5" t="s">
        <v>502</v>
      </c>
      <c r="X32" s="5" t="s">
        <v>502</v>
      </c>
      <c r="Y32" s="4">
        <v>294</v>
      </c>
      <c r="Z32" s="4">
        <v>205</v>
      </c>
      <c r="AA32" s="4">
        <v>229</v>
      </c>
      <c r="AB32" s="4">
        <v>3</v>
      </c>
      <c r="AC32" s="4">
        <v>3</v>
      </c>
      <c r="AD32" s="4">
        <v>9</v>
      </c>
      <c r="AE32" s="4">
        <v>9</v>
      </c>
      <c r="AF32" s="4">
        <v>6</v>
      </c>
      <c r="AG32" s="4">
        <v>6</v>
      </c>
      <c r="AH32" s="4">
        <v>1</v>
      </c>
      <c r="AI32" s="4">
        <v>1</v>
      </c>
      <c r="AJ32" s="4">
        <v>4</v>
      </c>
      <c r="AK32" s="4">
        <v>4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115</v>
      </c>
      <c r="AR32" s="6" t="str">
        <f>HYPERLINK("http://catalog.hathitrust.org/Record/000306382","HathiTrust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HYPERLINK("https://creighton-primo.hosted.exlibrisgroup.com/primo-explore/search?tab=default_tab&amp;search_scope=EVERYTHING&amp;vid=01CRU&amp;lang=en_US&amp;offset=0&amp;query=any,contains,991001785909702656","Catalog Record")</f>
        <v>Catalog Record</v>
      </c>
      <c r="AT32" s="6" t="str">
        <f>HYPERLINK("http://www.worldcat.org/oclc/7653077","WorldCat Record")</f>
        <v>WorldCat Record</v>
      </c>
      <c r="AU32" s="3" t="s">
        <v>503</v>
      </c>
      <c r="AV32" s="3" t="s">
        <v>504</v>
      </c>
      <c r="AW32" s="3" t="s">
        <v>505</v>
      </c>
      <c r="AX32" s="3" t="s">
        <v>505</v>
      </c>
      <c r="AY32" s="3" t="s">
        <v>506</v>
      </c>
      <c r="AZ32" s="3" t="s">
        <v>73</v>
      </c>
      <c r="BB32" s="3" t="s">
        <v>507</v>
      </c>
      <c r="BC32" s="3" t="s">
        <v>508</v>
      </c>
      <c r="BD32" s="3" t="s">
        <v>509</v>
      </c>
    </row>
    <row r="33" spans="1:56" ht="40.5" customHeight="1" x14ac:dyDescent="0.25">
      <c r="A33" s="8" t="s">
        <v>58</v>
      </c>
      <c r="B33" s="2" t="s">
        <v>510</v>
      </c>
      <c r="C33" s="2" t="s">
        <v>511</v>
      </c>
      <c r="D33" s="2" t="s">
        <v>512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513</v>
      </c>
      <c r="L33" s="2" t="s">
        <v>514</v>
      </c>
      <c r="M33" s="3" t="s">
        <v>515</v>
      </c>
      <c r="N33" s="2" t="s">
        <v>143</v>
      </c>
      <c r="O33" s="3" t="s">
        <v>64</v>
      </c>
      <c r="P33" s="3" t="s">
        <v>96</v>
      </c>
      <c r="R33" s="3" t="s">
        <v>66</v>
      </c>
      <c r="S33" s="4">
        <v>6</v>
      </c>
      <c r="T33" s="4">
        <v>6</v>
      </c>
      <c r="U33" s="5" t="s">
        <v>516</v>
      </c>
      <c r="V33" s="5" t="s">
        <v>516</v>
      </c>
      <c r="W33" s="5" t="s">
        <v>517</v>
      </c>
      <c r="X33" s="5" t="s">
        <v>517</v>
      </c>
      <c r="Y33" s="4">
        <v>194</v>
      </c>
      <c r="Z33" s="4">
        <v>164</v>
      </c>
      <c r="AA33" s="4">
        <v>297</v>
      </c>
      <c r="AB33" s="4">
        <v>1</v>
      </c>
      <c r="AC33" s="4">
        <v>3</v>
      </c>
      <c r="AD33" s="4">
        <v>6</v>
      </c>
      <c r="AE33" s="4">
        <v>15</v>
      </c>
      <c r="AF33" s="4">
        <v>2</v>
      </c>
      <c r="AG33" s="4">
        <v>5</v>
      </c>
      <c r="AH33" s="4">
        <v>1</v>
      </c>
      <c r="AI33" s="4">
        <v>3</v>
      </c>
      <c r="AJ33" s="4">
        <v>6</v>
      </c>
      <c r="AK33" s="4">
        <v>8</v>
      </c>
      <c r="AL33" s="4">
        <v>0</v>
      </c>
      <c r="AM33" s="4">
        <v>2</v>
      </c>
      <c r="AN33" s="4">
        <v>0</v>
      </c>
      <c r="AO33" s="4">
        <v>0</v>
      </c>
      <c r="AP33" s="3" t="s">
        <v>58</v>
      </c>
      <c r="AQ33" s="3" t="s">
        <v>115</v>
      </c>
      <c r="AR33" s="6" t="str">
        <f>HYPERLINK("http://catalog.hathitrust.org/Record/000435530","HathiTrust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HYPERLINK("https://creighton-primo.hosted.exlibrisgroup.com/primo-explore/search?tab=default_tab&amp;search_scope=EVERYTHING&amp;vid=01CRU&amp;lang=en_US&amp;offset=0&amp;query=any,contains,991000677489702656","Catalog Record")</f>
        <v>Catalog Record</v>
      </c>
      <c r="AT33" s="6" t="str">
        <f>HYPERLINK("http://www.worldcat.org/oclc/12370198","WorldCat Record")</f>
        <v>WorldCat Record</v>
      </c>
      <c r="AU33" s="3" t="s">
        <v>518</v>
      </c>
      <c r="AV33" s="3" t="s">
        <v>519</v>
      </c>
      <c r="AW33" s="3" t="s">
        <v>520</v>
      </c>
      <c r="AX33" s="3" t="s">
        <v>520</v>
      </c>
      <c r="AY33" s="3" t="s">
        <v>521</v>
      </c>
      <c r="AZ33" s="3" t="s">
        <v>73</v>
      </c>
      <c r="BB33" s="3" t="s">
        <v>522</v>
      </c>
      <c r="BC33" s="3" t="s">
        <v>523</v>
      </c>
      <c r="BD33" s="3" t="s">
        <v>524</v>
      </c>
    </row>
    <row r="34" spans="1:56" ht="40.5" customHeight="1" x14ac:dyDescent="0.25">
      <c r="A34" s="8" t="s">
        <v>58</v>
      </c>
      <c r="B34" s="2" t="s">
        <v>525</v>
      </c>
      <c r="C34" s="2" t="s">
        <v>526</v>
      </c>
      <c r="D34" s="2" t="s">
        <v>527</v>
      </c>
      <c r="F34" s="3" t="s">
        <v>58</v>
      </c>
      <c r="G34" s="3" t="s">
        <v>59</v>
      </c>
      <c r="H34" s="3" t="s">
        <v>115</v>
      </c>
      <c r="I34" s="3" t="s">
        <v>58</v>
      </c>
      <c r="J34" s="3" t="s">
        <v>60</v>
      </c>
      <c r="K34" s="2" t="s">
        <v>528</v>
      </c>
      <c r="L34" s="2" t="s">
        <v>529</v>
      </c>
      <c r="M34" s="3" t="s">
        <v>408</v>
      </c>
      <c r="O34" s="3" t="s">
        <v>64</v>
      </c>
      <c r="P34" s="3" t="s">
        <v>112</v>
      </c>
      <c r="Q34" s="2" t="s">
        <v>530</v>
      </c>
      <c r="R34" s="3" t="s">
        <v>66</v>
      </c>
      <c r="S34" s="4">
        <v>8</v>
      </c>
      <c r="T34" s="4">
        <v>8</v>
      </c>
      <c r="U34" s="5" t="s">
        <v>531</v>
      </c>
      <c r="V34" s="5" t="s">
        <v>531</v>
      </c>
      <c r="W34" s="5" t="s">
        <v>532</v>
      </c>
      <c r="X34" s="5" t="s">
        <v>532</v>
      </c>
      <c r="Y34" s="4">
        <v>361</v>
      </c>
      <c r="Z34" s="4">
        <v>261</v>
      </c>
      <c r="AA34" s="4">
        <v>263</v>
      </c>
      <c r="AB34" s="4">
        <v>4</v>
      </c>
      <c r="AC34" s="4">
        <v>4</v>
      </c>
      <c r="AD34" s="4">
        <v>15</v>
      </c>
      <c r="AE34" s="4">
        <v>15</v>
      </c>
      <c r="AF34" s="4">
        <v>5</v>
      </c>
      <c r="AG34" s="4">
        <v>5</v>
      </c>
      <c r="AH34" s="4">
        <v>4</v>
      </c>
      <c r="AI34" s="4">
        <v>4</v>
      </c>
      <c r="AJ34" s="4">
        <v>6</v>
      </c>
      <c r="AK34" s="4">
        <v>6</v>
      </c>
      <c r="AL34" s="4">
        <v>2</v>
      </c>
      <c r="AM34" s="4">
        <v>2</v>
      </c>
      <c r="AN34" s="4">
        <v>0</v>
      </c>
      <c r="AO34" s="4">
        <v>0</v>
      </c>
      <c r="AP34" s="3" t="s">
        <v>58</v>
      </c>
      <c r="AQ34" s="3" t="s">
        <v>115</v>
      </c>
      <c r="AR34" s="6" t="str">
        <f>HYPERLINK("http://catalog.hathitrust.org/Record/000350318","HathiTrust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HYPERLINK("https://creighton-primo.hosted.exlibrisgroup.com/primo-explore/search?tab=default_tab&amp;search_scope=EVERYTHING&amp;vid=01CRU&amp;lang=en_US&amp;offset=0&amp;query=any,contains,991000571119702656","Catalog Record")</f>
        <v>Catalog Record</v>
      </c>
      <c r="AT34" s="6" t="str">
        <f>HYPERLINK("http://www.worldcat.org/oclc/11650496","WorldCat Record")</f>
        <v>WorldCat Record</v>
      </c>
      <c r="AU34" s="3" t="s">
        <v>533</v>
      </c>
      <c r="AV34" s="3" t="s">
        <v>534</v>
      </c>
      <c r="AW34" s="3" t="s">
        <v>535</v>
      </c>
      <c r="AX34" s="3" t="s">
        <v>535</v>
      </c>
      <c r="AY34" s="3" t="s">
        <v>536</v>
      </c>
      <c r="AZ34" s="3" t="s">
        <v>73</v>
      </c>
      <c r="BB34" s="3" t="s">
        <v>537</v>
      </c>
      <c r="BC34" s="3" t="s">
        <v>538</v>
      </c>
      <c r="BD34" s="3" t="s">
        <v>539</v>
      </c>
    </row>
    <row r="35" spans="1:56" ht="40.5" customHeight="1" x14ac:dyDescent="0.25">
      <c r="A35" s="8" t="s">
        <v>58</v>
      </c>
      <c r="B35" s="2" t="s">
        <v>540</v>
      </c>
      <c r="C35" s="2" t="s">
        <v>541</v>
      </c>
      <c r="D35" s="2" t="s">
        <v>542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543</v>
      </c>
      <c r="L35" s="2" t="s">
        <v>544</v>
      </c>
      <c r="M35" s="3" t="s">
        <v>395</v>
      </c>
      <c r="O35" s="3" t="s">
        <v>64</v>
      </c>
      <c r="P35" s="3" t="s">
        <v>190</v>
      </c>
      <c r="R35" s="3" t="s">
        <v>66</v>
      </c>
      <c r="S35" s="4">
        <v>2</v>
      </c>
      <c r="T35" s="4">
        <v>2</v>
      </c>
      <c r="U35" s="5" t="s">
        <v>545</v>
      </c>
      <c r="V35" s="5" t="s">
        <v>545</v>
      </c>
      <c r="W35" s="5" t="s">
        <v>546</v>
      </c>
      <c r="X35" s="5" t="s">
        <v>546</v>
      </c>
      <c r="Y35" s="4">
        <v>114</v>
      </c>
      <c r="Z35" s="4">
        <v>96</v>
      </c>
      <c r="AA35" s="4">
        <v>128</v>
      </c>
      <c r="AB35" s="4">
        <v>1</v>
      </c>
      <c r="AC35" s="4">
        <v>2</v>
      </c>
      <c r="AD35" s="4">
        <v>3</v>
      </c>
      <c r="AE35" s="4">
        <v>4</v>
      </c>
      <c r="AF35" s="4">
        <v>1</v>
      </c>
      <c r="AG35" s="4">
        <v>1</v>
      </c>
      <c r="AH35" s="4">
        <v>0</v>
      </c>
      <c r="AI35" s="4">
        <v>0</v>
      </c>
      <c r="AJ35" s="4">
        <v>2</v>
      </c>
      <c r="AK35" s="4">
        <v>2</v>
      </c>
      <c r="AL35" s="4">
        <v>0</v>
      </c>
      <c r="AM35" s="4">
        <v>1</v>
      </c>
      <c r="AN35" s="4">
        <v>0</v>
      </c>
      <c r="AO35" s="4">
        <v>0</v>
      </c>
      <c r="AP35" s="3" t="s">
        <v>58</v>
      </c>
      <c r="AQ35" s="3" t="s">
        <v>115</v>
      </c>
      <c r="AR35" s="6" t="str">
        <f>HYPERLINK("http://catalog.hathitrust.org/Record/002431726","HathiTrust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HYPERLINK("https://creighton-primo.hosted.exlibrisgroup.com/primo-explore/search?tab=default_tab&amp;search_scope=EVERYTHING&amp;vid=01CRU&amp;lang=en_US&amp;offset=0&amp;query=any,contains,991002786469702656","Catalog Record")</f>
        <v>Catalog Record</v>
      </c>
      <c r="AT35" s="6" t="str">
        <f>HYPERLINK("http://www.worldcat.org/oclc/441745","WorldCat Record")</f>
        <v>WorldCat Record</v>
      </c>
      <c r="AU35" s="3" t="s">
        <v>547</v>
      </c>
      <c r="AV35" s="3" t="s">
        <v>548</v>
      </c>
      <c r="AW35" s="3" t="s">
        <v>549</v>
      </c>
      <c r="AX35" s="3" t="s">
        <v>549</v>
      </c>
      <c r="AY35" s="3" t="s">
        <v>550</v>
      </c>
      <c r="AZ35" s="3" t="s">
        <v>73</v>
      </c>
      <c r="BC35" s="3" t="s">
        <v>551</v>
      </c>
      <c r="BD35" s="3" t="s">
        <v>552</v>
      </c>
    </row>
    <row r="36" spans="1:56" ht="40.5" customHeight="1" x14ac:dyDescent="0.25">
      <c r="A36" s="8" t="s">
        <v>58</v>
      </c>
      <c r="B36" s="2" t="s">
        <v>553</v>
      </c>
      <c r="C36" s="2" t="s">
        <v>554</v>
      </c>
      <c r="D36" s="2" t="s">
        <v>555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556</v>
      </c>
      <c r="L36" s="2" t="s">
        <v>557</v>
      </c>
      <c r="M36" s="3" t="s">
        <v>290</v>
      </c>
      <c r="N36" s="2" t="s">
        <v>143</v>
      </c>
      <c r="O36" s="3" t="s">
        <v>64</v>
      </c>
      <c r="P36" s="3" t="s">
        <v>190</v>
      </c>
      <c r="R36" s="3" t="s">
        <v>66</v>
      </c>
      <c r="S36" s="4">
        <v>17</v>
      </c>
      <c r="T36" s="4">
        <v>17</v>
      </c>
      <c r="U36" s="5" t="s">
        <v>558</v>
      </c>
      <c r="V36" s="5" t="s">
        <v>558</v>
      </c>
      <c r="W36" s="5" t="s">
        <v>559</v>
      </c>
      <c r="X36" s="5" t="s">
        <v>559</v>
      </c>
      <c r="Y36" s="4">
        <v>184</v>
      </c>
      <c r="Z36" s="4">
        <v>153</v>
      </c>
      <c r="AA36" s="4">
        <v>1432</v>
      </c>
      <c r="AB36" s="4">
        <v>2</v>
      </c>
      <c r="AC36" s="4">
        <v>43</v>
      </c>
      <c r="AD36" s="4">
        <v>4</v>
      </c>
      <c r="AE36" s="4">
        <v>38</v>
      </c>
      <c r="AF36" s="4">
        <v>3</v>
      </c>
      <c r="AG36" s="4">
        <v>17</v>
      </c>
      <c r="AH36" s="4">
        <v>1</v>
      </c>
      <c r="AI36" s="4">
        <v>6</v>
      </c>
      <c r="AJ36" s="4">
        <v>3</v>
      </c>
      <c r="AK36" s="4">
        <v>13</v>
      </c>
      <c r="AL36" s="4">
        <v>0</v>
      </c>
      <c r="AM36" s="4">
        <v>12</v>
      </c>
      <c r="AN36" s="4">
        <v>0</v>
      </c>
      <c r="AO36" s="4">
        <v>0</v>
      </c>
      <c r="AP36" s="3" t="s">
        <v>58</v>
      </c>
      <c r="AQ36" s="3" t="s">
        <v>115</v>
      </c>
      <c r="AR36" s="6" t="str">
        <f>HYPERLINK("http://catalog.hathitrust.org/Record/001080054","HathiTrust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HYPERLINK("https://creighton-primo.hosted.exlibrisgroup.com/primo-explore/search?tab=default_tab&amp;search_scope=EVERYTHING&amp;vid=01CRU&amp;lang=en_US&amp;offset=0&amp;query=any,contains,991001189129702656","Catalog Record")</f>
        <v>Catalog Record</v>
      </c>
      <c r="AT36" s="6" t="str">
        <f>HYPERLINK("http://www.worldcat.org/oclc/17234211","WorldCat Record")</f>
        <v>WorldCat Record</v>
      </c>
      <c r="AU36" s="3" t="s">
        <v>560</v>
      </c>
      <c r="AV36" s="3" t="s">
        <v>561</v>
      </c>
      <c r="AW36" s="3" t="s">
        <v>562</v>
      </c>
      <c r="AX36" s="3" t="s">
        <v>562</v>
      </c>
      <c r="AY36" s="3" t="s">
        <v>563</v>
      </c>
      <c r="AZ36" s="3" t="s">
        <v>73</v>
      </c>
      <c r="BB36" s="3" t="s">
        <v>564</v>
      </c>
      <c r="BC36" s="3" t="s">
        <v>565</v>
      </c>
      <c r="BD36" s="3" t="s">
        <v>566</v>
      </c>
    </row>
    <row r="37" spans="1:56" ht="40.5" customHeight="1" x14ac:dyDescent="0.25">
      <c r="A37" s="8" t="s">
        <v>58</v>
      </c>
      <c r="B37" s="2" t="s">
        <v>567</v>
      </c>
      <c r="C37" s="2" t="s">
        <v>568</v>
      </c>
      <c r="D37" s="2" t="s">
        <v>569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570</v>
      </c>
      <c r="L37" s="2" t="s">
        <v>571</v>
      </c>
      <c r="M37" s="3" t="s">
        <v>572</v>
      </c>
      <c r="O37" s="3" t="s">
        <v>64</v>
      </c>
      <c r="P37" s="3" t="s">
        <v>144</v>
      </c>
      <c r="R37" s="3" t="s">
        <v>66</v>
      </c>
      <c r="S37" s="4">
        <v>2</v>
      </c>
      <c r="T37" s="4">
        <v>2</v>
      </c>
      <c r="U37" s="5" t="s">
        <v>573</v>
      </c>
      <c r="V37" s="5" t="s">
        <v>573</v>
      </c>
      <c r="W37" s="5" t="s">
        <v>573</v>
      </c>
      <c r="X37" s="5" t="s">
        <v>573</v>
      </c>
      <c r="Y37" s="4">
        <v>70</v>
      </c>
      <c r="Z37" s="4">
        <v>59</v>
      </c>
      <c r="AA37" s="4">
        <v>63</v>
      </c>
      <c r="AB37" s="4">
        <v>1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3" t="s">
        <v>58</v>
      </c>
      <c r="AQ37" s="3" t="s">
        <v>115</v>
      </c>
      <c r="AR37" s="6" t="str">
        <f>HYPERLINK("http://catalog.hathitrust.org/Record/004318738","HathiTrust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HYPERLINK("https://creighton-primo.hosted.exlibrisgroup.com/primo-explore/search?tab=default_tab&amp;search_scope=EVERYTHING&amp;vid=01CRU&amp;lang=en_US&amp;offset=0&amp;query=any,contains,991003999539702656","Catalog Record")</f>
        <v>Catalog Record</v>
      </c>
      <c r="AT37" s="6" t="str">
        <f>HYPERLINK("http://www.worldcat.org/oclc/48249219","WorldCat Record")</f>
        <v>WorldCat Record</v>
      </c>
      <c r="AU37" s="3" t="s">
        <v>574</v>
      </c>
      <c r="AV37" s="3" t="s">
        <v>575</v>
      </c>
      <c r="AW37" s="3" t="s">
        <v>576</v>
      </c>
      <c r="AX37" s="3" t="s">
        <v>576</v>
      </c>
      <c r="AY37" s="3" t="s">
        <v>577</v>
      </c>
      <c r="AZ37" s="3" t="s">
        <v>73</v>
      </c>
      <c r="BB37" s="3" t="s">
        <v>578</v>
      </c>
      <c r="BC37" s="3" t="s">
        <v>579</v>
      </c>
      <c r="BD37" s="3" t="s">
        <v>580</v>
      </c>
    </row>
    <row r="38" spans="1:56" ht="40.5" customHeight="1" x14ac:dyDescent="0.25">
      <c r="A38" s="8" t="s">
        <v>58</v>
      </c>
      <c r="B38" s="2" t="s">
        <v>581</v>
      </c>
      <c r="C38" s="2" t="s">
        <v>582</v>
      </c>
      <c r="D38" s="2" t="s">
        <v>583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L38" s="2" t="s">
        <v>584</v>
      </c>
      <c r="M38" s="3" t="s">
        <v>365</v>
      </c>
      <c r="O38" s="3" t="s">
        <v>64</v>
      </c>
      <c r="P38" s="3" t="s">
        <v>585</v>
      </c>
      <c r="Q38" s="2" t="s">
        <v>586</v>
      </c>
      <c r="R38" s="3" t="s">
        <v>66</v>
      </c>
      <c r="S38" s="4">
        <v>5</v>
      </c>
      <c r="T38" s="4">
        <v>5</v>
      </c>
      <c r="U38" s="5" t="s">
        <v>587</v>
      </c>
      <c r="V38" s="5" t="s">
        <v>587</v>
      </c>
      <c r="W38" s="5" t="s">
        <v>588</v>
      </c>
      <c r="X38" s="5" t="s">
        <v>588</v>
      </c>
      <c r="Y38" s="4">
        <v>154</v>
      </c>
      <c r="Z38" s="4">
        <v>84</v>
      </c>
      <c r="AA38" s="4">
        <v>116</v>
      </c>
      <c r="AB38" s="4">
        <v>1</v>
      </c>
      <c r="AC38" s="4">
        <v>1</v>
      </c>
      <c r="AD38" s="4">
        <v>2</v>
      </c>
      <c r="AE38" s="4">
        <v>4</v>
      </c>
      <c r="AF38" s="4">
        <v>0</v>
      </c>
      <c r="AG38" s="4">
        <v>1</v>
      </c>
      <c r="AH38" s="4">
        <v>2</v>
      </c>
      <c r="AI38" s="4">
        <v>2</v>
      </c>
      <c r="AJ38" s="4">
        <v>0</v>
      </c>
      <c r="AK38" s="4">
        <v>2</v>
      </c>
      <c r="AL38" s="4">
        <v>0</v>
      </c>
      <c r="AM38" s="4">
        <v>0</v>
      </c>
      <c r="AN38" s="4">
        <v>0</v>
      </c>
      <c r="AO38" s="4">
        <v>0</v>
      </c>
      <c r="AP38" s="3" t="s">
        <v>58</v>
      </c>
      <c r="AQ38" s="3" t="s">
        <v>115</v>
      </c>
      <c r="AR38" s="6" t="str">
        <f>HYPERLINK("http://catalog.hathitrust.org/Record/003135666","HathiTrust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HYPERLINK("https://creighton-primo.hosted.exlibrisgroup.com/primo-explore/search?tab=default_tab&amp;search_scope=EVERYTHING&amp;vid=01CRU&amp;lang=en_US&amp;offset=0&amp;query=any,contains,991005424509702656","Catalog Record")</f>
        <v>Catalog Record</v>
      </c>
      <c r="AT38" s="6" t="str">
        <f>HYPERLINK("http://www.worldcat.org/oclc/35198557","WorldCat Record")</f>
        <v>WorldCat Record</v>
      </c>
      <c r="AU38" s="3" t="s">
        <v>589</v>
      </c>
      <c r="AV38" s="3" t="s">
        <v>590</v>
      </c>
      <c r="AW38" s="3" t="s">
        <v>591</v>
      </c>
      <c r="AX38" s="3" t="s">
        <v>591</v>
      </c>
      <c r="AY38" s="3" t="s">
        <v>592</v>
      </c>
      <c r="AZ38" s="3" t="s">
        <v>73</v>
      </c>
      <c r="BB38" s="3" t="s">
        <v>593</v>
      </c>
      <c r="BC38" s="3" t="s">
        <v>594</v>
      </c>
      <c r="BD38" s="3" t="s">
        <v>595</v>
      </c>
    </row>
    <row r="39" spans="1:56" ht="40.5" customHeight="1" x14ac:dyDescent="0.25">
      <c r="A39" s="8" t="s">
        <v>58</v>
      </c>
      <c r="B39" s="2" t="s">
        <v>596</v>
      </c>
      <c r="C39" s="2" t="s">
        <v>597</v>
      </c>
      <c r="D39" s="2" t="s">
        <v>598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599</v>
      </c>
      <c r="M39" s="3" t="s">
        <v>142</v>
      </c>
      <c r="O39" s="3" t="s">
        <v>64</v>
      </c>
      <c r="P39" s="3" t="s">
        <v>65</v>
      </c>
      <c r="R39" s="3" t="s">
        <v>66</v>
      </c>
      <c r="S39" s="4">
        <v>14</v>
      </c>
      <c r="T39" s="4">
        <v>14</v>
      </c>
      <c r="U39" s="5" t="s">
        <v>600</v>
      </c>
      <c r="V39" s="5" t="s">
        <v>600</v>
      </c>
      <c r="W39" s="5" t="s">
        <v>601</v>
      </c>
      <c r="X39" s="5" t="s">
        <v>601</v>
      </c>
      <c r="Y39" s="4">
        <v>192</v>
      </c>
      <c r="Z39" s="4">
        <v>141</v>
      </c>
      <c r="AA39" s="4">
        <v>167</v>
      </c>
      <c r="AB39" s="4">
        <v>2</v>
      </c>
      <c r="AC39" s="4">
        <v>2</v>
      </c>
      <c r="AD39" s="4">
        <v>5</v>
      </c>
      <c r="AE39" s="4">
        <v>6</v>
      </c>
      <c r="AF39" s="4">
        <v>2</v>
      </c>
      <c r="AG39" s="4">
        <v>3</v>
      </c>
      <c r="AH39" s="4">
        <v>2</v>
      </c>
      <c r="AI39" s="4">
        <v>2</v>
      </c>
      <c r="AJ39" s="4">
        <v>0</v>
      </c>
      <c r="AK39" s="4">
        <v>1</v>
      </c>
      <c r="AL39" s="4">
        <v>1</v>
      </c>
      <c r="AM39" s="4">
        <v>1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HYPERLINK("https://creighton-primo.hosted.exlibrisgroup.com/primo-explore/search?tab=default_tab&amp;search_scope=EVERYTHING&amp;vid=01CRU&amp;lang=en_US&amp;offset=0&amp;query=any,contains,991001921059702656","Catalog Record")</f>
        <v>Catalog Record</v>
      </c>
      <c r="AT39" s="6" t="str">
        <f>HYPERLINK("http://www.worldcat.org/oclc/24246866","WorldCat Record")</f>
        <v>WorldCat Record</v>
      </c>
      <c r="AU39" s="3" t="s">
        <v>602</v>
      </c>
      <c r="AV39" s="3" t="s">
        <v>603</v>
      </c>
      <c r="AW39" s="3" t="s">
        <v>604</v>
      </c>
      <c r="AX39" s="3" t="s">
        <v>604</v>
      </c>
      <c r="AY39" s="3" t="s">
        <v>605</v>
      </c>
      <c r="AZ39" s="3" t="s">
        <v>73</v>
      </c>
      <c r="BB39" s="3" t="s">
        <v>606</v>
      </c>
      <c r="BC39" s="3" t="s">
        <v>607</v>
      </c>
      <c r="BD39" s="3" t="s">
        <v>608</v>
      </c>
    </row>
    <row r="40" spans="1:56" ht="40.5" customHeight="1" x14ac:dyDescent="0.25">
      <c r="A40" s="8" t="s">
        <v>58</v>
      </c>
      <c r="B40" s="2" t="s">
        <v>609</v>
      </c>
      <c r="C40" s="2" t="s">
        <v>610</v>
      </c>
      <c r="D40" s="2" t="s">
        <v>611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612</v>
      </c>
      <c r="M40" s="3" t="s">
        <v>173</v>
      </c>
      <c r="O40" s="3" t="s">
        <v>64</v>
      </c>
      <c r="P40" s="3" t="s">
        <v>613</v>
      </c>
      <c r="R40" s="3" t="s">
        <v>66</v>
      </c>
      <c r="S40" s="4">
        <v>11</v>
      </c>
      <c r="T40" s="4">
        <v>11</v>
      </c>
      <c r="U40" s="5" t="s">
        <v>614</v>
      </c>
      <c r="V40" s="5" t="s">
        <v>614</v>
      </c>
      <c r="W40" s="5" t="s">
        <v>615</v>
      </c>
      <c r="X40" s="5" t="s">
        <v>615</v>
      </c>
      <c r="Y40" s="4">
        <v>112</v>
      </c>
      <c r="Z40" s="4">
        <v>94</v>
      </c>
      <c r="AA40" s="4">
        <v>120</v>
      </c>
      <c r="AB40" s="4">
        <v>2</v>
      </c>
      <c r="AC40" s="4">
        <v>2</v>
      </c>
      <c r="AD40" s="4">
        <v>5</v>
      </c>
      <c r="AE40" s="4">
        <v>5</v>
      </c>
      <c r="AF40" s="4">
        <v>1</v>
      </c>
      <c r="AG40" s="4">
        <v>1</v>
      </c>
      <c r="AH40" s="4">
        <v>2</v>
      </c>
      <c r="AI40" s="4">
        <v>2</v>
      </c>
      <c r="AJ40" s="4">
        <v>3</v>
      </c>
      <c r="AK40" s="4">
        <v>3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HYPERLINK("https://creighton-primo.hosted.exlibrisgroup.com/primo-explore/search?tab=default_tab&amp;search_scope=EVERYTHING&amp;vid=01CRU&amp;lang=en_US&amp;offset=0&amp;query=any,contains,991002422809702656","Catalog Record")</f>
        <v>Catalog Record</v>
      </c>
      <c r="AT40" s="6" t="str">
        <f>HYPERLINK("http://www.worldcat.org/oclc/31604964","WorldCat Record")</f>
        <v>WorldCat Record</v>
      </c>
      <c r="AU40" s="3" t="s">
        <v>616</v>
      </c>
      <c r="AV40" s="3" t="s">
        <v>617</v>
      </c>
      <c r="AW40" s="3" t="s">
        <v>618</v>
      </c>
      <c r="AX40" s="3" t="s">
        <v>618</v>
      </c>
      <c r="AY40" s="3" t="s">
        <v>619</v>
      </c>
      <c r="AZ40" s="3" t="s">
        <v>73</v>
      </c>
      <c r="BB40" s="3" t="s">
        <v>620</v>
      </c>
      <c r="BC40" s="3" t="s">
        <v>621</v>
      </c>
      <c r="BD40" s="3" t="s">
        <v>622</v>
      </c>
    </row>
    <row r="41" spans="1:56" ht="40.5" customHeight="1" x14ac:dyDescent="0.25">
      <c r="A41" s="8" t="s">
        <v>58</v>
      </c>
      <c r="B41" s="2" t="s">
        <v>623</v>
      </c>
      <c r="C41" s="2" t="s">
        <v>624</v>
      </c>
      <c r="D41" s="2" t="s">
        <v>625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626</v>
      </c>
      <c r="L41" s="2" t="s">
        <v>627</v>
      </c>
      <c r="M41" s="3" t="s">
        <v>628</v>
      </c>
      <c r="O41" s="3" t="s">
        <v>64</v>
      </c>
      <c r="P41" s="3" t="s">
        <v>65</v>
      </c>
      <c r="R41" s="3" t="s">
        <v>66</v>
      </c>
      <c r="S41" s="4">
        <v>7</v>
      </c>
      <c r="T41" s="4">
        <v>7</v>
      </c>
      <c r="U41" s="5" t="s">
        <v>517</v>
      </c>
      <c r="V41" s="5" t="s">
        <v>517</v>
      </c>
      <c r="W41" s="5" t="s">
        <v>629</v>
      </c>
      <c r="X41" s="5" t="s">
        <v>629</v>
      </c>
      <c r="Y41" s="4">
        <v>373</v>
      </c>
      <c r="Z41" s="4">
        <v>276</v>
      </c>
      <c r="AA41" s="4">
        <v>303</v>
      </c>
      <c r="AB41" s="4">
        <v>3</v>
      </c>
      <c r="AC41" s="4">
        <v>3</v>
      </c>
      <c r="AD41" s="4">
        <v>9</v>
      </c>
      <c r="AE41" s="4">
        <v>10</v>
      </c>
      <c r="AF41" s="4">
        <v>4</v>
      </c>
      <c r="AG41" s="4">
        <v>5</v>
      </c>
      <c r="AH41" s="4">
        <v>1</v>
      </c>
      <c r="AI41" s="4">
        <v>1</v>
      </c>
      <c r="AJ41" s="4">
        <v>5</v>
      </c>
      <c r="AK41" s="4">
        <v>5</v>
      </c>
      <c r="AL41" s="4">
        <v>1</v>
      </c>
      <c r="AM41" s="4">
        <v>1</v>
      </c>
      <c r="AN41" s="4">
        <v>0</v>
      </c>
      <c r="AO41" s="4">
        <v>0</v>
      </c>
      <c r="AP41" s="3" t="s">
        <v>58</v>
      </c>
      <c r="AQ41" s="3" t="s">
        <v>115</v>
      </c>
      <c r="AR41" s="6" t="str">
        <f>HYPERLINK("http://catalog.hathitrust.org/Record/001573051","HathiTrust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HYPERLINK("https://creighton-primo.hosted.exlibrisgroup.com/primo-explore/search?tab=default_tab&amp;search_scope=EVERYTHING&amp;vid=01CRU&amp;lang=en_US&amp;offset=0&amp;query=any,contains,991003379729702656","Catalog Record")</f>
        <v>Catalog Record</v>
      </c>
      <c r="AT41" s="6" t="str">
        <f>HYPERLINK("http://www.worldcat.org/oclc/915822","WorldCat Record")</f>
        <v>WorldCat Record</v>
      </c>
      <c r="AU41" s="3" t="s">
        <v>630</v>
      </c>
      <c r="AV41" s="3" t="s">
        <v>631</v>
      </c>
      <c r="AW41" s="3" t="s">
        <v>632</v>
      </c>
      <c r="AX41" s="3" t="s">
        <v>632</v>
      </c>
      <c r="AY41" s="3" t="s">
        <v>633</v>
      </c>
      <c r="AZ41" s="3" t="s">
        <v>73</v>
      </c>
      <c r="BB41" s="3" t="s">
        <v>634</v>
      </c>
      <c r="BC41" s="3" t="s">
        <v>635</v>
      </c>
      <c r="BD41" s="3" t="s">
        <v>636</v>
      </c>
    </row>
    <row r="42" spans="1:56" ht="40.5" customHeight="1" x14ac:dyDescent="0.25">
      <c r="A42" s="8" t="s">
        <v>58</v>
      </c>
      <c r="B42" s="2" t="s">
        <v>637</v>
      </c>
      <c r="C42" s="2" t="s">
        <v>638</v>
      </c>
      <c r="D42" s="2" t="s">
        <v>639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640</v>
      </c>
      <c r="L42" s="2" t="s">
        <v>641</v>
      </c>
      <c r="M42" s="3" t="s">
        <v>642</v>
      </c>
      <c r="O42" s="3" t="s">
        <v>64</v>
      </c>
      <c r="P42" s="3" t="s">
        <v>643</v>
      </c>
      <c r="R42" s="3" t="s">
        <v>66</v>
      </c>
      <c r="S42" s="4">
        <v>21</v>
      </c>
      <c r="T42" s="4">
        <v>21</v>
      </c>
      <c r="U42" s="5" t="s">
        <v>644</v>
      </c>
      <c r="V42" s="5" t="s">
        <v>644</v>
      </c>
      <c r="W42" s="5" t="s">
        <v>645</v>
      </c>
      <c r="X42" s="5" t="s">
        <v>645</v>
      </c>
      <c r="Y42" s="4">
        <v>491</v>
      </c>
      <c r="Z42" s="4">
        <v>423</v>
      </c>
      <c r="AA42" s="4">
        <v>432</v>
      </c>
      <c r="AB42" s="4">
        <v>5</v>
      </c>
      <c r="AC42" s="4">
        <v>5</v>
      </c>
      <c r="AD42" s="4">
        <v>22</v>
      </c>
      <c r="AE42" s="4">
        <v>22</v>
      </c>
      <c r="AF42" s="4">
        <v>7</v>
      </c>
      <c r="AG42" s="4">
        <v>7</v>
      </c>
      <c r="AH42" s="4">
        <v>3</v>
      </c>
      <c r="AI42" s="4">
        <v>3</v>
      </c>
      <c r="AJ42" s="4">
        <v>11</v>
      </c>
      <c r="AK42" s="4">
        <v>11</v>
      </c>
      <c r="AL42" s="4">
        <v>4</v>
      </c>
      <c r="AM42" s="4">
        <v>4</v>
      </c>
      <c r="AN42" s="4">
        <v>2</v>
      </c>
      <c r="AO42" s="4">
        <v>2</v>
      </c>
      <c r="AP42" s="3" t="s">
        <v>58</v>
      </c>
      <c r="AQ42" s="3" t="s">
        <v>115</v>
      </c>
      <c r="AR42" s="6" t="str">
        <f>HYPERLINK("http://catalog.hathitrust.org/Record/001573054","HathiTrust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HYPERLINK("https://creighton-primo.hosted.exlibrisgroup.com/primo-explore/search?tab=default_tab&amp;search_scope=EVERYTHING&amp;vid=01CRU&amp;lang=en_US&amp;offset=0&amp;query=any,contains,991000001959702656","Catalog Record")</f>
        <v>Catalog Record</v>
      </c>
      <c r="AT42" s="6" t="str">
        <f>HYPERLINK("http://www.worldcat.org/oclc/10827","WorldCat Record")</f>
        <v>WorldCat Record</v>
      </c>
      <c r="AU42" s="3" t="s">
        <v>646</v>
      </c>
      <c r="AV42" s="3" t="s">
        <v>647</v>
      </c>
      <c r="AW42" s="3" t="s">
        <v>648</v>
      </c>
      <c r="AX42" s="3" t="s">
        <v>648</v>
      </c>
      <c r="AY42" s="3" t="s">
        <v>649</v>
      </c>
      <c r="AZ42" s="3" t="s">
        <v>73</v>
      </c>
      <c r="BB42" s="3" t="s">
        <v>650</v>
      </c>
      <c r="BC42" s="3" t="s">
        <v>651</v>
      </c>
      <c r="BD42" s="3" t="s">
        <v>652</v>
      </c>
    </row>
    <row r="43" spans="1:56" ht="40.5" customHeight="1" x14ac:dyDescent="0.25">
      <c r="A43" s="8" t="s">
        <v>58</v>
      </c>
      <c r="B43" s="2" t="s">
        <v>653</v>
      </c>
      <c r="C43" s="2" t="s">
        <v>654</v>
      </c>
      <c r="D43" s="2" t="s">
        <v>655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L43" s="2" t="s">
        <v>656</v>
      </c>
      <c r="M43" s="3" t="s">
        <v>306</v>
      </c>
      <c r="O43" s="3" t="s">
        <v>64</v>
      </c>
      <c r="P43" s="3" t="s">
        <v>613</v>
      </c>
      <c r="Q43" s="2" t="s">
        <v>657</v>
      </c>
      <c r="R43" s="3" t="s">
        <v>66</v>
      </c>
      <c r="S43" s="4">
        <v>7</v>
      </c>
      <c r="T43" s="4">
        <v>7</v>
      </c>
      <c r="U43" s="5" t="s">
        <v>614</v>
      </c>
      <c r="V43" s="5" t="s">
        <v>614</v>
      </c>
      <c r="W43" s="5" t="s">
        <v>658</v>
      </c>
      <c r="X43" s="5" t="s">
        <v>658</v>
      </c>
      <c r="Y43" s="4">
        <v>156</v>
      </c>
      <c r="Z43" s="4">
        <v>110</v>
      </c>
      <c r="AA43" s="4">
        <v>111</v>
      </c>
      <c r="AB43" s="4">
        <v>2</v>
      </c>
      <c r="AC43" s="4">
        <v>2</v>
      </c>
      <c r="AD43" s="4">
        <v>5</v>
      </c>
      <c r="AE43" s="4">
        <v>5</v>
      </c>
      <c r="AF43" s="4">
        <v>2</v>
      </c>
      <c r="AG43" s="4">
        <v>2</v>
      </c>
      <c r="AH43" s="4">
        <v>1</v>
      </c>
      <c r="AI43" s="4">
        <v>1</v>
      </c>
      <c r="AJ43" s="4">
        <v>3</v>
      </c>
      <c r="AK43" s="4">
        <v>3</v>
      </c>
      <c r="AL43" s="4">
        <v>1</v>
      </c>
      <c r="AM43" s="4">
        <v>1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HYPERLINK("https://creighton-primo.hosted.exlibrisgroup.com/primo-explore/search?tab=default_tab&amp;search_scope=EVERYTHING&amp;vid=01CRU&amp;lang=en_US&amp;offset=0&amp;query=any,contains,991002575339702656","Catalog Record")</f>
        <v>Catalog Record</v>
      </c>
      <c r="AT43" s="6" t="str">
        <f>HYPERLINK("http://www.worldcat.org/oclc/33489224","WorldCat Record")</f>
        <v>WorldCat Record</v>
      </c>
      <c r="AU43" s="3" t="s">
        <v>659</v>
      </c>
      <c r="AV43" s="3" t="s">
        <v>660</v>
      </c>
      <c r="AW43" s="3" t="s">
        <v>661</v>
      </c>
      <c r="AX43" s="3" t="s">
        <v>661</v>
      </c>
      <c r="AY43" s="3" t="s">
        <v>662</v>
      </c>
      <c r="AZ43" s="3" t="s">
        <v>73</v>
      </c>
      <c r="BB43" s="3" t="s">
        <v>663</v>
      </c>
      <c r="BC43" s="3" t="s">
        <v>664</v>
      </c>
      <c r="BD43" s="3" t="s">
        <v>665</v>
      </c>
    </row>
    <row r="44" spans="1:56" ht="40.5" customHeight="1" x14ac:dyDescent="0.25">
      <c r="A44" s="8" t="s">
        <v>58</v>
      </c>
      <c r="B44" s="2" t="s">
        <v>666</v>
      </c>
      <c r="C44" s="2" t="s">
        <v>667</v>
      </c>
      <c r="D44" s="2" t="s">
        <v>668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669</v>
      </c>
      <c r="L44" s="2" t="s">
        <v>670</v>
      </c>
      <c r="M44" s="3" t="s">
        <v>671</v>
      </c>
      <c r="O44" s="3" t="s">
        <v>64</v>
      </c>
      <c r="P44" s="3" t="s">
        <v>291</v>
      </c>
      <c r="R44" s="3" t="s">
        <v>66</v>
      </c>
      <c r="S44" s="4">
        <v>4</v>
      </c>
      <c r="T44" s="4">
        <v>4</v>
      </c>
      <c r="U44" s="5" t="s">
        <v>644</v>
      </c>
      <c r="V44" s="5" t="s">
        <v>644</v>
      </c>
      <c r="W44" s="5" t="s">
        <v>672</v>
      </c>
      <c r="X44" s="5" t="s">
        <v>672</v>
      </c>
      <c r="Y44" s="4">
        <v>175</v>
      </c>
      <c r="Z44" s="4">
        <v>144</v>
      </c>
      <c r="AA44" s="4">
        <v>146</v>
      </c>
      <c r="AB44" s="4">
        <v>2</v>
      </c>
      <c r="AC44" s="4">
        <v>2</v>
      </c>
      <c r="AD44" s="4">
        <v>2</v>
      </c>
      <c r="AE44" s="4">
        <v>2</v>
      </c>
      <c r="AF44" s="4">
        <v>1</v>
      </c>
      <c r="AG44" s="4">
        <v>1</v>
      </c>
      <c r="AH44" s="4">
        <v>0</v>
      </c>
      <c r="AI44" s="4">
        <v>0</v>
      </c>
      <c r="AJ44" s="4">
        <v>0</v>
      </c>
      <c r="AK44" s="4">
        <v>0</v>
      </c>
      <c r="AL44" s="4">
        <v>1</v>
      </c>
      <c r="AM44" s="4">
        <v>1</v>
      </c>
      <c r="AN44" s="4">
        <v>0</v>
      </c>
      <c r="AO44" s="4">
        <v>0</v>
      </c>
      <c r="AP44" s="3" t="s">
        <v>58</v>
      </c>
      <c r="AQ44" s="3" t="s">
        <v>115</v>
      </c>
      <c r="AR44" s="6" t="str">
        <f>HYPERLINK("http://catalog.hathitrust.org/Record/001579296","HathiTrust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HYPERLINK("https://creighton-primo.hosted.exlibrisgroup.com/primo-explore/search?tab=default_tab&amp;search_scope=EVERYTHING&amp;vid=01CRU&amp;lang=en_US&amp;offset=0&amp;query=any,contains,991002173299702656","Catalog Record")</f>
        <v>Catalog Record</v>
      </c>
      <c r="AT44" s="6" t="str">
        <f>HYPERLINK("http://www.worldcat.org/oclc/277443","WorldCat Record")</f>
        <v>WorldCat Record</v>
      </c>
      <c r="AU44" s="3" t="s">
        <v>673</v>
      </c>
      <c r="AV44" s="3" t="s">
        <v>674</v>
      </c>
      <c r="AW44" s="3" t="s">
        <v>675</v>
      </c>
      <c r="AX44" s="3" t="s">
        <v>675</v>
      </c>
      <c r="AY44" s="3" t="s">
        <v>676</v>
      </c>
      <c r="AZ44" s="3" t="s">
        <v>73</v>
      </c>
      <c r="BB44" s="3" t="s">
        <v>677</v>
      </c>
      <c r="BC44" s="3" t="s">
        <v>678</v>
      </c>
      <c r="BD44" s="3" t="s">
        <v>679</v>
      </c>
    </row>
    <row r="45" spans="1:56" ht="40.5" customHeight="1" x14ac:dyDescent="0.25">
      <c r="A45" s="8" t="s">
        <v>58</v>
      </c>
      <c r="B45" s="2" t="s">
        <v>680</v>
      </c>
      <c r="C45" s="2" t="s">
        <v>681</v>
      </c>
      <c r="D45" s="2" t="s">
        <v>682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683</v>
      </c>
      <c r="L45" s="2" t="s">
        <v>684</v>
      </c>
      <c r="M45" s="3" t="s">
        <v>220</v>
      </c>
      <c r="O45" s="3" t="s">
        <v>64</v>
      </c>
      <c r="P45" s="3" t="s">
        <v>685</v>
      </c>
      <c r="R45" s="3" t="s">
        <v>66</v>
      </c>
      <c r="S45" s="4">
        <v>7</v>
      </c>
      <c r="T45" s="4">
        <v>7</v>
      </c>
      <c r="U45" s="5" t="s">
        <v>686</v>
      </c>
      <c r="V45" s="5" t="s">
        <v>686</v>
      </c>
      <c r="W45" s="5" t="s">
        <v>645</v>
      </c>
      <c r="X45" s="5" t="s">
        <v>645</v>
      </c>
      <c r="Y45" s="4">
        <v>4</v>
      </c>
      <c r="Z45" s="4">
        <v>4</v>
      </c>
      <c r="AA45" s="4">
        <v>4</v>
      </c>
      <c r="AB45" s="4">
        <v>1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HYPERLINK("https://creighton-primo.hosted.exlibrisgroup.com/primo-explore/search?tab=default_tab&amp;search_scope=EVERYTHING&amp;vid=01CRU&amp;lang=en_US&amp;offset=0&amp;query=any,contains,991000747949702656","Catalog Record")</f>
        <v>Catalog Record</v>
      </c>
      <c r="AT45" s="6" t="str">
        <f>HYPERLINK("http://www.worldcat.org/oclc/12887461","WorldCat Record")</f>
        <v>WorldCat Record</v>
      </c>
      <c r="AU45" s="3" t="s">
        <v>687</v>
      </c>
      <c r="AV45" s="3" t="s">
        <v>688</v>
      </c>
      <c r="AW45" s="3" t="s">
        <v>689</v>
      </c>
      <c r="AX45" s="3" t="s">
        <v>689</v>
      </c>
      <c r="AY45" s="3" t="s">
        <v>690</v>
      </c>
      <c r="AZ45" s="3" t="s">
        <v>73</v>
      </c>
      <c r="BC45" s="3" t="s">
        <v>691</v>
      </c>
      <c r="BD45" s="3" t="s">
        <v>692</v>
      </c>
    </row>
    <row r="46" spans="1:56" ht="40.5" customHeight="1" x14ac:dyDescent="0.25">
      <c r="A46" s="8" t="s">
        <v>58</v>
      </c>
      <c r="B46" s="2" t="s">
        <v>693</v>
      </c>
      <c r="C46" s="2" t="s">
        <v>694</v>
      </c>
      <c r="D46" s="2" t="s">
        <v>695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696</v>
      </c>
      <c r="L46" s="2" t="s">
        <v>697</v>
      </c>
      <c r="M46" s="3" t="s">
        <v>698</v>
      </c>
      <c r="O46" s="3" t="s">
        <v>64</v>
      </c>
      <c r="P46" s="3" t="s">
        <v>291</v>
      </c>
      <c r="R46" s="3" t="s">
        <v>66</v>
      </c>
      <c r="S46" s="4">
        <v>1</v>
      </c>
      <c r="T46" s="4">
        <v>1</v>
      </c>
      <c r="U46" s="5" t="s">
        <v>516</v>
      </c>
      <c r="V46" s="5" t="s">
        <v>516</v>
      </c>
      <c r="W46" s="5" t="s">
        <v>456</v>
      </c>
      <c r="X46" s="5" t="s">
        <v>456</v>
      </c>
      <c r="Y46" s="4">
        <v>234</v>
      </c>
      <c r="Z46" s="4">
        <v>203</v>
      </c>
      <c r="AA46" s="4">
        <v>224</v>
      </c>
      <c r="AB46" s="4">
        <v>2</v>
      </c>
      <c r="AC46" s="4">
        <v>2</v>
      </c>
      <c r="AD46" s="4">
        <v>6</v>
      </c>
      <c r="AE46" s="4">
        <v>7</v>
      </c>
      <c r="AF46" s="4">
        <v>2</v>
      </c>
      <c r="AG46" s="4">
        <v>3</v>
      </c>
      <c r="AH46" s="4">
        <v>0</v>
      </c>
      <c r="AI46" s="4">
        <v>1</v>
      </c>
      <c r="AJ46" s="4">
        <v>3</v>
      </c>
      <c r="AK46" s="4">
        <v>3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115</v>
      </c>
      <c r="AR46" s="6" t="str">
        <f>HYPERLINK("http://catalog.hathitrust.org/Record/001573067","HathiTrust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HYPERLINK("https://creighton-primo.hosted.exlibrisgroup.com/primo-explore/search?tab=default_tab&amp;search_scope=EVERYTHING&amp;vid=01CRU&amp;lang=en_US&amp;offset=0&amp;query=any,contains,991003161229702656","Catalog Record")</f>
        <v>Catalog Record</v>
      </c>
      <c r="AT46" s="6" t="str">
        <f>HYPERLINK("http://www.worldcat.org/oclc/700391","WorldCat Record")</f>
        <v>WorldCat Record</v>
      </c>
      <c r="AU46" s="3" t="s">
        <v>699</v>
      </c>
      <c r="AV46" s="3" t="s">
        <v>700</v>
      </c>
      <c r="AW46" s="3" t="s">
        <v>701</v>
      </c>
      <c r="AX46" s="3" t="s">
        <v>701</v>
      </c>
      <c r="AY46" s="3" t="s">
        <v>702</v>
      </c>
      <c r="AZ46" s="3" t="s">
        <v>73</v>
      </c>
      <c r="BB46" s="3" t="s">
        <v>703</v>
      </c>
      <c r="BC46" s="3" t="s">
        <v>704</v>
      </c>
      <c r="BD46" s="3" t="s">
        <v>705</v>
      </c>
    </row>
    <row r="47" spans="1:56" ht="40.5" customHeight="1" x14ac:dyDescent="0.25">
      <c r="A47" s="8" t="s">
        <v>58</v>
      </c>
      <c r="B47" s="2" t="s">
        <v>706</v>
      </c>
      <c r="C47" s="2" t="s">
        <v>707</v>
      </c>
      <c r="D47" s="2" t="s">
        <v>708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709</v>
      </c>
      <c r="L47" s="2" t="s">
        <v>710</v>
      </c>
      <c r="M47" s="3" t="s">
        <v>408</v>
      </c>
      <c r="N47" s="2" t="s">
        <v>221</v>
      </c>
      <c r="O47" s="3" t="s">
        <v>64</v>
      </c>
      <c r="P47" s="3" t="s">
        <v>65</v>
      </c>
      <c r="Q47" s="2" t="s">
        <v>711</v>
      </c>
      <c r="R47" s="3" t="s">
        <v>66</v>
      </c>
      <c r="S47" s="4">
        <v>8</v>
      </c>
      <c r="T47" s="4">
        <v>8</v>
      </c>
      <c r="U47" s="5" t="s">
        <v>712</v>
      </c>
      <c r="V47" s="5" t="s">
        <v>712</v>
      </c>
      <c r="W47" s="5" t="s">
        <v>396</v>
      </c>
      <c r="X47" s="5" t="s">
        <v>396</v>
      </c>
      <c r="Y47" s="4">
        <v>291</v>
      </c>
      <c r="Z47" s="4">
        <v>256</v>
      </c>
      <c r="AA47" s="4">
        <v>823</v>
      </c>
      <c r="AB47" s="4">
        <v>2</v>
      </c>
      <c r="AC47" s="4">
        <v>10</v>
      </c>
      <c r="AD47" s="4">
        <v>3</v>
      </c>
      <c r="AE47" s="4">
        <v>24</v>
      </c>
      <c r="AF47" s="4">
        <v>1</v>
      </c>
      <c r="AG47" s="4">
        <v>4</v>
      </c>
      <c r="AH47" s="4">
        <v>0</v>
      </c>
      <c r="AI47" s="4">
        <v>5</v>
      </c>
      <c r="AJ47" s="4">
        <v>3</v>
      </c>
      <c r="AK47" s="4">
        <v>11</v>
      </c>
      <c r="AL47" s="4">
        <v>0</v>
      </c>
      <c r="AM47" s="4">
        <v>7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HYPERLINK("https://creighton-primo.hosted.exlibrisgroup.com/primo-explore/search?tab=default_tab&amp;search_scope=EVERYTHING&amp;vid=01CRU&amp;lang=en_US&amp;offset=0&amp;query=any,contains,991000539689702656","Catalog Record")</f>
        <v>Catalog Record</v>
      </c>
      <c r="AT47" s="6" t="str">
        <f>HYPERLINK("http://www.worldcat.org/oclc/11469882","WorldCat Record")</f>
        <v>WorldCat Record</v>
      </c>
      <c r="AU47" s="3" t="s">
        <v>713</v>
      </c>
      <c r="AV47" s="3" t="s">
        <v>714</v>
      </c>
      <c r="AW47" s="3" t="s">
        <v>715</v>
      </c>
      <c r="AX47" s="3" t="s">
        <v>715</v>
      </c>
      <c r="AY47" s="3" t="s">
        <v>716</v>
      </c>
      <c r="AZ47" s="3" t="s">
        <v>73</v>
      </c>
      <c r="BB47" s="3" t="s">
        <v>717</v>
      </c>
      <c r="BC47" s="3" t="s">
        <v>718</v>
      </c>
      <c r="BD47" s="3" t="s">
        <v>719</v>
      </c>
    </row>
    <row r="48" spans="1:56" ht="40.5" customHeight="1" x14ac:dyDescent="0.25">
      <c r="A48" s="8" t="s">
        <v>58</v>
      </c>
      <c r="B48" s="2" t="s">
        <v>720</v>
      </c>
      <c r="C48" s="2" t="s">
        <v>721</v>
      </c>
      <c r="D48" s="2" t="s">
        <v>722</v>
      </c>
      <c r="F48" s="3" t="s">
        <v>58</v>
      </c>
      <c r="G48" s="3" t="s">
        <v>59</v>
      </c>
      <c r="H48" s="3" t="s">
        <v>115</v>
      </c>
      <c r="I48" s="3" t="s">
        <v>58</v>
      </c>
      <c r="J48" s="3" t="s">
        <v>60</v>
      </c>
      <c r="K48" s="2" t="s">
        <v>723</v>
      </c>
      <c r="L48" s="2" t="s">
        <v>724</v>
      </c>
      <c r="M48" s="3" t="s">
        <v>725</v>
      </c>
      <c r="N48" s="2" t="s">
        <v>143</v>
      </c>
      <c r="O48" s="3" t="s">
        <v>64</v>
      </c>
      <c r="P48" s="3" t="s">
        <v>65</v>
      </c>
      <c r="Q48" s="2" t="s">
        <v>726</v>
      </c>
      <c r="R48" s="3" t="s">
        <v>66</v>
      </c>
      <c r="S48" s="4">
        <v>16</v>
      </c>
      <c r="T48" s="4">
        <v>16</v>
      </c>
      <c r="U48" s="5" t="s">
        <v>727</v>
      </c>
      <c r="V48" s="5" t="s">
        <v>727</v>
      </c>
      <c r="W48" s="5" t="s">
        <v>728</v>
      </c>
      <c r="X48" s="5" t="s">
        <v>728</v>
      </c>
      <c r="Y48" s="4">
        <v>372</v>
      </c>
      <c r="Z48" s="4">
        <v>294</v>
      </c>
      <c r="AA48" s="4">
        <v>578</v>
      </c>
      <c r="AB48" s="4">
        <v>6</v>
      </c>
      <c r="AC48" s="4">
        <v>9</v>
      </c>
      <c r="AD48" s="4">
        <v>18</v>
      </c>
      <c r="AE48" s="4">
        <v>32</v>
      </c>
      <c r="AF48" s="4">
        <v>5</v>
      </c>
      <c r="AG48" s="4">
        <v>9</v>
      </c>
      <c r="AH48" s="4">
        <v>4</v>
      </c>
      <c r="AI48" s="4">
        <v>7</v>
      </c>
      <c r="AJ48" s="4">
        <v>10</v>
      </c>
      <c r="AK48" s="4">
        <v>16</v>
      </c>
      <c r="AL48" s="4">
        <v>4</v>
      </c>
      <c r="AM48" s="4">
        <v>7</v>
      </c>
      <c r="AN48" s="4">
        <v>0</v>
      </c>
      <c r="AO48" s="4">
        <v>0</v>
      </c>
      <c r="AP48" s="3" t="s">
        <v>58</v>
      </c>
      <c r="AQ48" s="3" t="s">
        <v>115</v>
      </c>
      <c r="AR48" s="6" t="str">
        <f>HYPERLINK("http://catalog.hathitrust.org/Record/000109633","HathiTrust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HYPERLINK("https://creighton-primo.hosted.exlibrisgroup.com/primo-explore/search?tab=default_tab&amp;search_scope=EVERYTHING&amp;vid=01CRU&amp;lang=en_US&amp;offset=0&amp;query=any,contains,991005178079702656","Catalog Record")</f>
        <v>Catalog Record</v>
      </c>
      <c r="AT48" s="6" t="str">
        <f>HYPERLINK("http://www.worldcat.org/oclc/7925458","WorldCat Record")</f>
        <v>WorldCat Record</v>
      </c>
      <c r="AU48" s="3" t="s">
        <v>729</v>
      </c>
      <c r="AV48" s="3" t="s">
        <v>730</v>
      </c>
      <c r="AW48" s="3" t="s">
        <v>731</v>
      </c>
      <c r="AX48" s="3" t="s">
        <v>731</v>
      </c>
      <c r="AY48" s="3" t="s">
        <v>732</v>
      </c>
      <c r="AZ48" s="3" t="s">
        <v>73</v>
      </c>
      <c r="BB48" s="3" t="s">
        <v>733</v>
      </c>
      <c r="BC48" s="3" t="s">
        <v>734</v>
      </c>
      <c r="BD48" s="3" t="s">
        <v>735</v>
      </c>
    </row>
    <row r="49" spans="1:56" ht="40.5" customHeight="1" x14ac:dyDescent="0.25">
      <c r="A49" s="8" t="s">
        <v>58</v>
      </c>
      <c r="B49" s="2" t="s">
        <v>736</v>
      </c>
      <c r="C49" s="2" t="s">
        <v>737</v>
      </c>
      <c r="D49" s="2" t="s">
        <v>738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739</v>
      </c>
      <c r="L49" s="2" t="s">
        <v>740</v>
      </c>
      <c r="M49" s="3" t="s">
        <v>189</v>
      </c>
      <c r="O49" s="3" t="s">
        <v>64</v>
      </c>
      <c r="P49" s="3" t="s">
        <v>112</v>
      </c>
      <c r="R49" s="3" t="s">
        <v>66</v>
      </c>
      <c r="S49" s="4">
        <v>26</v>
      </c>
      <c r="T49" s="4">
        <v>26</v>
      </c>
      <c r="U49" s="5" t="s">
        <v>741</v>
      </c>
      <c r="V49" s="5" t="s">
        <v>741</v>
      </c>
      <c r="W49" s="5" t="s">
        <v>742</v>
      </c>
      <c r="X49" s="5" t="s">
        <v>742</v>
      </c>
      <c r="Y49" s="4">
        <v>254</v>
      </c>
      <c r="Z49" s="4">
        <v>169</v>
      </c>
      <c r="AA49" s="4">
        <v>799</v>
      </c>
      <c r="AB49" s="4">
        <v>1</v>
      </c>
      <c r="AC49" s="4">
        <v>27</v>
      </c>
      <c r="AD49" s="4">
        <v>13</v>
      </c>
      <c r="AE49" s="4">
        <v>34</v>
      </c>
      <c r="AF49" s="4">
        <v>4</v>
      </c>
      <c r="AG49" s="4">
        <v>10</v>
      </c>
      <c r="AH49" s="4">
        <v>2</v>
      </c>
      <c r="AI49" s="4">
        <v>4</v>
      </c>
      <c r="AJ49" s="4">
        <v>8</v>
      </c>
      <c r="AK49" s="4">
        <v>13</v>
      </c>
      <c r="AL49" s="4">
        <v>0</v>
      </c>
      <c r="AM49" s="4">
        <v>12</v>
      </c>
      <c r="AN49" s="4">
        <v>0</v>
      </c>
      <c r="AO49" s="4">
        <v>0</v>
      </c>
      <c r="AP49" s="3" t="s">
        <v>58</v>
      </c>
      <c r="AQ49" s="3" t="s">
        <v>115</v>
      </c>
      <c r="AR49" s="6" t="str">
        <f>HYPERLINK("http://catalog.hathitrust.org/Record/002781884","HathiTrust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HYPERLINK("https://creighton-primo.hosted.exlibrisgroup.com/primo-explore/search?tab=default_tab&amp;search_scope=EVERYTHING&amp;vid=01CRU&amp;lang=en_US&amp;offset=0&amp;query=any,contains,991001962969702656","Catalog Record")</f>
        <v>Catalog Record</v>
      </c>
      <c r="AT49" s="6" t="str">
        <f>HYPERLINK("http://www.worldcat.org/oclc/24871405","WorldCat Record")</f>
        <v>WorldCat Record</v>
      </c>
      <c r="AU49" s="3" t="s">
        <v>743</v>
      </c>
      <c r="AV49" s="3" t="s">
        <v>744</v>
      </c>
      <c r="AW49" s="3" t="s">
        <v>745</v>
      </c>
      <c r="AX49" s="3" t="s">
        <v>745</v>
      </c>
      <c r="AY49" s="3" t="s">
        <v>746</v>
      </c>
      <c r="AZ49" s="3" t="s">
        <v>73</v>
      </c>
      <c r="BB49" s="3" t="s">
        <v>747</v>
      </c>
      <c r="BC49" s="3" t="s">
        <v>748</v>
      </c>
      <c r="BD49" s="3" t="s">
        <v>749</v>
      </c>
    </row>
    <row r="50" spans="1:56" ht="40.5" customHeight="1" x14ac:dyDescent="0.25">
      <c r="A50" s="8" t="s">
        <v>58</v>
      </c>
      <c r="B50" s="2" t="s">
        <v>750</v>
      </c>
      <c r="C50" s="2" t="s">
        <v>751</v>
      </c>
      <c r="D50" s="2" t="s">
        <v>752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753</v>
      </c>
      <c r="L50" s="2" t="s">
        <v>754</v>
      </c>
      <c r="M50" s="3" t="s">
        <v>111</v>
      </c>
      <c r="O50" s="3" t="s">
        <v>64</v>
      </c>
      <c r="P50" s="3" t="s">
        <v>755</v>
      </c>
      <c r="Q50" s="2" t="s">
        <v>756</v>
      </c>
      <c r="R50" s="3" t="s">
        <v>66</v>
      </c>
      <c r="S50" s="4">
        <v>2</v>
      </c>
      <c r="T50" s="4">
        <v>2</v>
      </c>
      <c r="U50" s="5" t="s">
        <v>727</v>
      </c>
      <c r="V50" s="5" t="s">
        <v>727</v>
      </c>
      <c r="W50" s="5" t="s">
        <v>456</v>
      </c>
      <c r="X50" s="5" t="s">
        <v>456</v>
      </c>
      <c r="Y50" s="4">
        <v>300</v>
      </c>
      <c r="Z50" s="4">
        <v>235</v>
      </c>
      <c r="AA50" s="4">
        <v>242</v>
      </c>
      <c r="AB50" s="4">
        <v>4</v>
      </c>
      <c r="AC50" s="4">
        <v>4</v>
      </c>
      <c r="AD50" s="4">
        <v>9</v>
      </c>
      <c r="AE50" s="4">
        <v>9</v>
      </c>
      <c r="AF50" s="4">
        <v>2</v>
      </c>
      <c r="AG50" s="4">
        <v>2</v>
      </c>
      <c r="AH50" s="4">
        <v>2</v>
      </c>
      <c r="AI50" s="4">
        <v>2</v>
      </c>
      <c r="AJ50" s="4">
        <v>4</v>
      </c>
      <c r="AK50" s="4">
        <v>4</v>
      </c>
      <c r="AL50" s="4">
        <v>3</v>
      </c>
      <c r="AM50" s="4">
        <v>3</v>
      </c>
      <c r="AN50" s="4">
        <v>0</v>
      </c>
      <c r="AO50" s="4">
        <v>0</v>
      </c>
      <c r="AP50" s="3" t="s">
        <v>58</v>
      </c>
      <c r="AQ50" s="3" t="s">
        <v>115</v>
      </c>
      <c r="AR50" s="6" t="str">
        <f>HYPERLINK("http://catalog.hathitrust.org/Record/000032488","HathiTrust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HYPERLINK("https://creighton-primo.hosted.exlibrisgroup.com/primo-explore/search?tab=default_tab&amp;search_scope=EVERYTHING&amp;vid=01CRU&amp;lang=en_US&amp;offset=0&amp;query=any,contains,991003537899702656","Catalog Record")</f>
        <v>Catalog Record</v>
      </c>
      <c r="AT50" s="6" t="str">
        <f>HYPERLINK("http://www.worldcat.org/oclc/1103154","WorldCat Record")</f>
        <v>WorldCat Record</v>
      </c>
      <c r="AU50" s="3" t="s">
        <v>757</v>
      </c>
      <c r="AV50" s="3" t="s">
        <v>758</v>
      </c>
      <c r="AW50" s="3" t="s">
        <v>759</v>
      </c>
      <c r="AX50" s="3" t="s">
        <v>759</v>
      </c>
      <c r="AY50" s="3" t="s">
        <v>760</v>
      </c>
      <c r="AZ50" s="3" t="s">
        <v>73</v>
      </c>
      <c r="BB50" s="3" t="s">
        <v>761</v>
      </c>
      <c r="BC50" s="3" t="s">
        <v>762</v>
      </c>
      <c r="BD50" s="3" t="s">
        <v>763</v>
      </c>
    </row>
    <row r="51" spans="1:56" ht="40.5" customHeight="1" x14ac:dyDescent="0.25">
      <c r="A51" s="8" t="s">
        <v>58</v>
      </c>
      <c r="B51" s="2" t="s">
        <v>764</v>
      </c>
      <c r="C51" s="2" t="s">
        <v>765</v>
      </c>
      <c r="D51" s="2" t="s">
        <v>766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L51" s="2" t="s">
        <v>767</v>
      </c>
      <c r="M51" s="3" t="s">
        <v>321</v>
      </c>
      <c r="O51" s="3" t="s">
        <v>64</v>
      </c>
      <c r="P51" s="3" t="s">
        <v>65</v>
      </c>
      <c r="R51" s="3" t="s">
        <v>66</v>
      </c>
      <c r="S51" s="4">
        <v>5</v>
      </c>
      <c r="T51" s="4">
        <v>5</v>
      </c>
      <c r="U51" s="5" t="s">
        <v>768</v>
      </c>
      <c r="V51" s="5" t="s">
        <v>768</v>
      </c>
      <c r="W51" s="5" t="s">
        <v>769</v>
      </c>
      <c r="X51" s="5" t="s">
        <v>769</v>
      </c>
      <c r="Y51" s="4">
        <v>384</v>
      </c>
      <c r="Z51" s="4">
        <v>298</v>
      </c>
      <c r="AA51" s="4">
        <v>305</v>
      </c>
      <c r="AB51" s="4">
        <v>2</v>
      </c>
      <c r="AC51" s="4">
        <v>2</v>
      </c>
      <c r="AD51" s="4">
        <v>14</v>
      </c>
      <c r="AE51" s="4">
        <v>14</v>
      </c>
      <c r="AF51" s="4">
        <v>6</v>
      </c>
      <c r="AG51" s="4">
        <v>6</v>
      </c>
      <c r="AH51" s="4">
        <v>3</v>
      </c>
      <c r="AI51" s="4">
        <v>3</v>
      </c>
      <c r="AJ51" s="4">
        <v>9</v>
      </c>
      <c r="AK51" s="4">
        <v>9</v>
      </c>
      <c r="AL51" s="4">
        <v>1</v>
      </c>
      <c r="AM51" s="4">
        <v>1</v>
      </c>
      <c r="AN51" s="4">
        <v>0</v>
      </c>
      <c r="AO51" s="4">
        <v>0</v>
      </c>
      <c r="AP51" s="3" t="s">
        <v>58</v>
      </c>
      <c r="AQ51" s="3" t="s">
        <v>115</v>
      </c>
      <c r="AR51" s="6" t="str">
        <f>HYPERLINK("http://catalog.hathitrust.org/Record/000251129","HathiTrust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HYPERLINK("https://creighton-primo.hosted.exlibrisgroup.com/primo-explore/search?tab=default_tab&amp;search_scope=EVERYTHING&amp;vid=01CRU&amp;lang=en_US&amp;offset=0&amp;query=any,contains,991004313089702656","Catalog Record")</f>
        <v>Catalog Record</v>
      </c>
      <c r="AT51" s="6" t="str">
        <f>HYPERLINK("http://www.worldcat.org/oclc/3002015","WorldCat Record")</f>
        <v>WorldCat Record</v>
      </c>
      <c r="AU51" s="3" t="s">
        <v>770</v>
      </c>
      <c r="AV51" s="3" t="s">
        <v>771</v>
      </c>
      <c r="AW51" s="3" t="s">
        <v>772</v>
      </c>
      <c r="AX51" s="3" t="s">
        <v>772</v>
      </c>
      <c r="AY51" s="3" t="s">
        <v>773</v>
      </c>
      <c r="AZ51" s="3" t="s">
        <v>73</v>
      </c>
      <c r="BB51" s="3" t="s">
        <v>774</v>
      </c>
      <c r="BC51" s="3" t="s">
        <v>775</v>
      </c>
      <c r="BD51" s="3" t="s">
        <v>776</v>
      </c>
    </row>
    <row r="52" spans="1:56" ht="40.5" customHeight="1" x14ac:dyDescent="0.25">
      <c r="A52" s="8" t="s">
        <v>58</v>
      </c>
      <c r="B52" s="2" t="s">
        <v>777</v>
      </c>
      <c r="C52" s="2" t="s">
        <v>778</v>
      </c>
      <c r="D52" s="2" t="s">
        <v>779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L52" s="2" t="s">
        <v>780</v>
      </c>
      <c r="M52" s="3" t="s">
        <v>173</v>
      </c>
      <c r="O52" s="3" t="s">
        <v>64</v>
      </c>
      <c r="P52" s="3" t="s">
        <v>65</v>
      </c>
      <c r="R52" s="3" t="s">
        <v>66</v>
      </c>
      <c r="S52" s="4">
        <v>11</v>
      </c>
      <c r="T52" s="4">
        <v>11</v>
      </c>
      <c r="U52" s="5" t="s">
        <v>781</v>
      </c>
      <c r="V52" s="5" t="s">
        <v>781</v>
      </c>
      <c r="W52" s="5" t="s">
        <v>782</v>
      </c>
      <c r="X52" s="5" t="s">
        <v>782</v>
      </c>
      <c r="Y52" s="4">
        <v>295</v>
      </c>
      <c r="Z52" s="4">
        <v>209</v>
      </c>
      <c r="AA52" s="4">
        <v>209</v>
      </c>
      <c r="AB52" s="4">
        <v>2</v>
      </c>
      <c r="AC52" s="4">
        <v>2</v>
      </c>
      <c r="AD52" s="4">
        <v>8</v>
      </c>
      <c r="AE52" s="4">
        <v>8</v>
      </c>
      <c r="AF52" s="4">
        <v>1</v>
      </c>
      <c r="AG52" s="4">
        <v>1</v>
      </c>
      <c r="AH52" s="4">
        <v>4</v>
      </c>
      <c r="AI52" s="4">
        <v>4</v>
      </c>
      <c r="AJ52" s="4">
        <v>6</v>
      </c>
      <c r="AK52" s="4">
        <v>6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HYPERLINK("https://creighton-primo.hosted.exlibrisgroup.com/primo-explore/search?tab=default_tab&amp;search_scope=EVERYTHING&amp;vid=01CRU&amp;lang=en_US&amp;offset=0&amp;query=any,contains,991002313829702656","Catalog Record")</f>
        <v>Catalog Record</v>
      </c>
      <c r="AT52" s="6" t="str">
        <f>HYPERLINK("http://www.worldcat.org/oclc/30031477","WorldCat Record")</f>
        <v>WorldCat Record</v>
      </c>
      <c r="AU52" s="3" t="s">
        <v>783</v>
      </c>
      <c r="AV52" s="3" t="s">
        <v>784</v>
      </c>
      <c r="AW52" s="3" t="s">
        <v>785</v>
      </c>
      <c r="AX52" s="3" t="s">
        <v>785</v>
      </c>
      <c r="AY52" s="3" t="s">
        <v>786</v>
      </c>
      <c r="AZ52" s="3" t="s">
        <v>73</v>
      </c>
      <c r="BB52" s="3" t="s">
        <v>787</v>
      </c>
      <c r="BC52" s="3" t="s">
        <v>788</v>
      </c>
      <c r="BD52" s="3" t="s">
        <v>789</v>
      </c>
    </row>
    <row r="53" spans="1:56" ht="40.5" customHeight="1" x14ac:dyDescent="0.25">
      <c r="A53" s="8" t="s">
        <v>58</v>
      </c>
      <c r="B53" s="2" t="s">
        <v>790</v>
      </c>
      <c r="C53" s="2" t="s">
        <v>791</v>
      </c>
      <c r="D53" s="2" t="s">
        <v>792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793</v>
      </c>
      <c r="L53" s="2" t="s">
        <v>794</v>
      </c>
      <c r="M53" s="3" t="s">
        <v>206</v>
      </c>
      <c r="O53" s="3" t="s">
        <v>64</v>
      </c>
      <c r="P53" s="3" t="s">
        <v>65</v>
      </c>
      <c r="R53" s="3" t="s">
        <v>66</v>
      </c>
      <c r="S53" s="4">
        <v>5</v>
      </c>
      <c r="T53" s="4">
        <v>5</v>
      </c>
      <c r="U53" s="5" t="s">
        <v>795</v>
      </c>
      <c r="V53" s="5" t="s">
        <v>795</v>
      </c>
      <c r="W53" s="5" t="s">
        <v>796</v>
      </c>
      <c r="X53" s="5" t="s">
        <v>796</v>
      </c>
      <c r="Y53" s="4">
        <v>593</v>
      </c>
      <c r="Z53" s="4">
        <v>499</v>
      </c>
      <c r="AA53" s="4">
        <v>513</v>
      </c>
      <c r="AB53" s="4">
        <v>5</v>
      </c>
      <c r="AC53" s="4">
        <v>5</v>
      </c>
      <c r="AD53" s="4">
        <v>20</v>
      </c>
      <c r="AE53" s="4">
        <v>20</v>
      </c>
      <c r="AF53" s="4">
        <v>6</v>
      </c>
      <c r="AG53" s="4">
        <v>6</v>
      </c>
      <c r="AH53" s="4">
        <v>6</v>
      </c>
      <c r="AI53" s="4">
        <v>6</v>
      </c>
      <c r="AJ53" s="4">
        <v>8</v>
      </c>
      <c r="AK53" s="4">
        <v>8</v>
      </c>
      <c r="AL53" s="4">
        <v>4</v>
      </c>
      <c r="AM53" s="4">
        <v>4</v>
      </c>
      <c r="AN53" s="4">
        <v>0</v>
      </c>
      <c r="AO53" s="4">
        <v>0</v>
      </c>
      <c r="AP53" s="3" t="s">
        <v>58</v>
      </c>
      <c r="AQ53" s="3" t="s">
        <v>58</v>
      </c>
      <c r="AR53" s="6" t="str">
        <f>HYPERLINK("http://catalog.hathitrust.org/Record/001573097","HathiTrust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HYPERLINK("https://creighton-primo.hosted.exlibrisgroup.com/primo-explore/search?tab=default_tab&amp;search_scope=EVERYTHING&amp;vid=01CRU&amp;lang=en_US&amp;offset=0&amp;query=any,contains,991003077819702656","Catalog Record")</f>
        <v>Catalog Record</v>
      </c>
      <c r="AT53" s="6" t="str">
        <f>HYPERLINK("http://www.worldcat.org/oclc/630963","WorldCat Record")</f>
        <v>WorldCat Record</v>
      </c>
      <c r="AU53" s="3" t="s">
        <v>797</v>
      </c>
      <c r="AV53" s="3" t="s">
        <v>798</v>
      </c>
      <c r="AW53" s="3" t="s">
        <v>799</v>
      </c>
      <c r="AX53" s="3" t="s">
        <v>799</v>
      </c>
      <c r="AY53" s="3" t="s">
        <v>800</v>
      </c>
      <c r="AZ53" s="3" t="s">
        <v>73</v>
      </c>
      <c r="BC53" s="3" t="s">
        <v>801</v>
      </c>
      <c r="BD53" s="3" t="s">
        <v>802</v>
      </c>
    </row>
    <row r="54" spans="1:56" ht="40.5" customHeight="1" x14ac:dyDescent="0.25">
      <c r="A54" s="8" t="s">
        <v>58</v>
      </c>
      <c r="B54" s="2" t="s">
        <v>803</v>
      </c>
      <c r="C54" s="2" t="s">
        <v>804</v>
      </c>
      <c r="D54" s="2" t="s">
        <v>805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806</v>
      </c>
      <c r="L54" s="2" t="s">
        <v>807</v>
      </c>
      <c r="M54" s="3" t="s">
        <v>142</v>
      </c>
      <c r="N54" s="2" t="s">
        <v>174</v>
      </c>
      <c r="O54" s="3" t="s">
        <v>64</v>
      </c>
      <c r="P54" s="3" t="s">
        <v>65</v>
      </c>
      <c r="R54" s="3" t="s">
        <v>66</v>
      </c>
      <c r="S54" s="4">
        <v>5</v>
      </c>
      <c r="T54" s="4">
        <v>5</v>
      </c>
      <c r="U54" s="5" t="s">
        <v>808</v>
      </c>
      <c r="V54" s="5" t="s">
        <v>808</v>
      </c>
      <c r="W54" s="5" t="s">
        <v>411</v>
      </c>
      <c r="X54" s="5" t="s">
        <v>411</v>
      </c>
      <c r="Y54" s="4">
        <v>457</v>
      </c>
      <c r="Z54" s="4">
        <v>423</v>
      </c>
      <c r="AA54" s="4">
        <v>550</v>
      </c>
      <c r="AB54" s="4">
        <v>3</v>
      </c>
      <c r="AC54" s="4">
        <v>3</v>
      </c>
      <c r="AD54" s="4">
        <v>7</v>
      </c>
      <c r="AE54" s="4">
        <v>12</v>
      </c>
      <c r="AF54" s="4">
        <v>1</v>
      </c>
      <c r="AG54" s="4">
        <v>4</v>
      </c>
      <c r="AH54" s="4">
        <v>0</v>
      </c>
      <c r="AI54" s="4">
        <v>1</v>
      </c>
      <c r="AJ54" s="4">
        <v>5</v>
      </c>
      <c r="AK54" s="4">
        <v>5</v>
      </c>
      <c r="AL54" s="4">
        <v>2</v>
      </c>
      <c r="AM54" s="4">
        <v>2</v>
      </c>
      <c r="AN54" s="4">
        <v>0</v>
      </c>
      <c r="AO54" s="4">
        <v>1</v>
      </c>
      <c r="AP54" s="3" t="s">
        <v>58</v>
      </c>
      <c r="AQ54" s="3" t="s">
        <v>115</v>
      </c>
      <c r="AR54" s="6" t="str">
        <f>HYPERLINK("http://catalog.hathitrust.org/Record/002733769","HathiTrust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HYPERLINK("https://creighton-primo.hosted.exlibrisgroup.com/primo-explore/search?tab=default_tab&amp;search_scope=EVERYTHING&amp;vid=01CRU&amp;lang=en_US&amp;offset=0&amp;query=any,contains,991005328499702656","Catalog Record")</f>
        <v>Catalog Record</v>
      </c>
      <c r="AT54" s="6" t="str">
        <f>HYPERLINK("http://www.worldcat.org/oclc/22117538","WorldCat Record")</f>
        <v>WorldCat Record</v>
      </c>
      <c r="AU54" s="3" t="s">
        <v>809</v>
      </c>
      <c r="AV54" s="3" t="s">
        <v>810</v>
      </c>
      <c r="AW54" s="3" t="s">
        <v>811</v>
      </c>
      <c r="AX54" s="3" t="s">
        <v>811</v>
      </c>
      <c r="AY54" s="3" t="s">
        <v>812</v>
      </c>
      <c r="AZ54" s="3" t="s">
        <v>73</v>
      </c>
      <c r="BB54" s="3" t="s">
        <v>813</v>
      </c>
      <c r="BC54" s="3" t="s">
        <v>814</v>
      </c>
      <c r="BD54" s="3" t="s">
        <v>815</v>
      </c>
    </row>
    <row r="55" spans="1:56" ht="40.5" customHeight="1" x14ac:dyDescent="0.25">
      <c r="A55" s="8" t="s">
        <v>58</v>
      </c>
      <c r="B55" s="2" t="s">
        <v>816</v>
      </c>
      <c r="C55" s="2" t="s">
        <v>817</v>
      </c>
      <c r="D55" s="2" t="s">
        <v>818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819</v>
      </c>
      <c r="L55" s="2" t="s">
        <v>820</v>
      </c>
      <c r="M55" s="3" t="s">
        <v>821</v>
      </c>
      <c r="O55" s="3" t="s">
        <v>64</v>
      </c>
      <c r="P55" s="3" t="s">
        <v>291</v>
      </c>
      <c r="R55" s="3" t="s">
        <v>66</v>
      </c>
      <c r="S55" s="4">
        <v>1</v>
      </c>
      <c r="T55" s="4">
        <v>1</v>
      </c>
      <c r="U55" s="5" t="s">
        <v>822</v>
      </c>
      <c r="V55" s="5" t="s">
        <v>822</v>
      </c>
      <c r="W55" s="5" t="s">
        <v>456</v>
      </c>
      <c r="X55" s="5" t="s">
        <v>456</v>
      </c>
      <c r="Y55" s="4">
        <v>106</v>
      </c>
      <c r="Z55" s="4">
        <v>90</v>
      </c>
      <c r="AA55" s="4">
        <v>94</v>
      </c>
      <c r="AB55" s="4">
        <v>1</v>
      </c>
      <c r="AC55" s="4">
        <v>1</v>
      </c>
      <c r="AD55" s="4">
        <v>2</v>
      </c>
      <c r="AE55" s="4">
        <v>2</v>
      </c>
      <c r="AF55" s="4">
        <v>1</v>
      </c>
      <c r="AG55" s="4">
        <v>1</v>
      </c>
      <c r="AH55" s="4">
        <v>0</v>
      </c>
      <c r="AI55" s="4">
        <v>0</v>
      </c>
      <c r="AJ55" s="4">
        <v>1</v>
      </c>
      <c r="AK55" s="4">
        <v>1</v>
      </c>
      <c r="AL55" s="4">
        <v>0</v>
      </c>
      <c r="AM55" s="4">
        <v>0</v>
      </c>
      <c r="AN55" s="4">
        <v>0</v>
      </c>
      <c r="AO55" s="4">
        <v>0</v>
      </c>
      <c r="AP55" s="3" t="s">
        <v>58</v>
      </c>
      <c r="AQ55" s="3" t="s">
        <v>115</v>
      </c>
      <c r="AR55" s="6" t="str">
        <f>HYPERLINK("http://catalog.hathitrust.org/Record/001573103","HathiTrust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HYPERLINK("https://creighton-primo.hosted.exlibrisgroup.com/primo-explore/search?tab=default_tab&amp;search_scope=EVERYTHING&amp;vid=01CRU&amp;lang=en_US&amp;offset=0&amp;query=any,contains,991003580429702656","Catalog Record")</f>
        <v>Catalog Record</v>
      </c>
      <c r="AT55" s="6" t="str">
        <f>HYPERLINK("http://www.worldcat.org/oclc/1161444","WorldCat Record")</f>
        <v>WorldCat Record</v>
      </c>
      <c r="AU55" s="3" t="s">
        <v>823</v>
      </c>
      <c r="AV55" s="3" t="s">
        <v>824</v>
      </c>
      <c r="AW55" s="3" t="s">
        <v>825</v>
      </c>
      <c r="AX55" s="3" t="s">
        <v>825</v>
      </c>
      <c r="AY55" s="3" t="s">
        <v>826</v>
      </c>
      <c r="AZ55" s="3" t="s">
        <v>73</v>
      </c>
      <c r="BC55" s="3" t="s">
        <v>827</v>
      </c>
      <c r="BD55" s="3" t="s">
        <v>828</v>
      </c>
    </row>
    <row r="56" spans="1:56" ht="40.5" customHeight="1" x14ac:dyDescent="0.25">
      <c r="A56" s="8" t="s">
        <v>58</v>
      </c>
      <c r="B56" s="2" t="s">
        <v>829</v>
      </c>
      <c r="C56" s="2" t="s">
        <v>830</v>
      </c>
      <c r="D56" s="2" t="s">
        <v>831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832</v>
      </c>
      <c r="L56" s="2" t="s">
        <v>833</v>
      </c>
      <c r="M56" s="3" t="s">
        <v>698</v>
      </c>
      <c r="N56" s="2" t="s">
        <v>834</v>
      </c>
      <c r="O56" s="3" t="s">
        <v>64</v>
      </c>
      <c r="P56" s="3" t="s">
        <v>685</v>
      </c>
      <c r="Q56" s="2" t="s">
        <v>835</v>
      </c>
      <c r="R56" s="3" t="s">
        <v>66</v>
      </c>
      <c r="S56" s="4">
        <v>1</v>
      </c>
      <c r="T56" s="4">
        <v>1</v>
      </c>
      <c r="U56" s="5" t="s">
        <v>836</v>
      </c>
      <c r="V56" s="5" t="s">
        <v>836</v>
      </c>
      <c r="W56" s="5" t="s">
        <v>837</v>
      </c>
      <c r="X56" s="5" t="s">
        <v>837</v>
      </c>
      <c r="Y56" s="4">
        <v>404</v>
      </c>
      <c r="Z56" s="4">
        <v>326</v>
      </c>
      <c r="AA56" s="4">
        <v>335</v>
      </c>
      <c r="AB56" s="4">
        <v>4</v>
      </c>
      <c r="AC56" s="4">
        <v>4</v>
      </c>
      <c r="AD56" s="4">
        <v>19</v>
      </c>
      <c r="AE56" s="4">
        <v>19</v>
      </c>
      <c r="AF56" s="4">
        <v>4</v>
      </c>
      <c r="AG56" s="4">
        <v>4</v>
      </c>
      <c r="AH56" s="4">
        <v>5</v>
      </c>
      <c r="AI56" s="4">
        <v>5</v>
      </c>
      <c r="AJ56" s="4">
        <v>10</v>
      </c>
      <c r="AK56" s="4">
        <v>10</v>
      </c>
      <c r="AL56" s="4">
        <v>3</v>
      </c>
      <c r="AM56" s="4">
        <v>3</v>
      </c>
      <c r="AN56" s="4">
        <v>0</v>
      </c>
      <c r="AO56" s="4">
        <v>0</v>
      </c>
      <c r="AP56" s="3" t="s">
        <v>58</v>
      </c>
      <c r="AQ56" s="3" t="s">
        <v>115</v>
      </c>
      <c r="AR56" s="6" t="str">
        <f>HYPERLINK("http://catalog.hathitrust.org/Record/001573115","HathiTrust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HYPERLINK("https://creighton-primo.hosted.exlibrisgroup.com/primo-explore/search?tab=default_tab&amp;search_scope=EVERYTHING&amp;vid=01CRU&amp;lang=en_US&amp;offset=0&amp;query=any,contains,991003282599702656","Catalog Record")</f>
        <v>Catalog Record</v>
      </c>
      <c r="AT56" s="6" t="str">
        <f>HYPERLINK("http://www.worldcat.org/oclc/804937","WorldCat Record")</f>
        <v>WorldCat Record</v>
      </c>
      <c r="AU56" s="3" t="s">
        <v>838</v>
      </c>
      <c r="AV56" s="3" t="s">
        <v>839</v>
      </c>
      <c r="AW56" s="3" t="s">
        <v>840</v>
      </c>
      <c r="AX56" s="3" t="s">
        <v>840</v>
      </c>
      <c r="AY56" s="3" t="s">
        <v>841</v>
      </c>
      <c r="AZ56" s="3" t="s">
        <v>73</v>
      </c>
      <c r="BB56" s="3" t="s">
        <v>842</v>
      </c>
      <c r="BC56" s="3" t="s">
        <v>843</v>
      </c>
      <c r="BD56" s="3" t="s">
        <v>844</v>
      </c>
    </row>
    <row r="57" spans="1:56" ht="40.5" customHeight="1" x14ac:dyDescent="0.25">
      <c r="A57" s="8" t="s">
        <v>58</v>
      </c>
      <c r="B57" s="2" t="s">
        <v>845</v>
      </c>
      <c r="C57" s="2" t="s">
        <v>846</v>
      </c>
      <c r="D57" s="2" t="s">
        <v>847</v>
      </c>
      <c r="F57" s="3" t="s">
        <v>58</v>
      </c>
      <c r="G57" s="3" t="s">
        <v>59</v>
      </c>
      <c r="H57" s="3" t="s">
        <v>115</v>
      </c>
      <c r="I57" s="3" t="s">
        <v>58</v>
      </c>
      <c r="J57" s="3" t="s">
        <v>60</v>
      </c>
      <c r="K57" s="2" t="s">
        <v>848</v>
      </c>
      <c r="L57" s="2" t="s">
        <v>849</v>
      </c>
      <c r="M57" s="3" t="s">
        <v>173</v>
      </c>
      <c r="O57" s="3" t="s">
        <v>64</v>
      </c>
      <c r="P57" s="3" t="s">
        <v>65</v>
      </c>
      <c r="R57" s="3" t="s">
        <v>66</v>
      </c>
      <c r="S57" s="4">
        <v>14</v>
      </c>
      <c r="T57" s="4">
        <v>14</v>
      </c>
      <c r="U57" s="5" t="s">
        <v>850</v>
      </c>
      <c r="V57" s="5" t="s">
        <v>850</v>
      </c>
      <c r="W57" s="5" t="s">
        <v>851</v>
      </c>
      <c r="X57" s="5" t="s">
        <v>852</v>
      </c>
      <c r="Y57" s="4">
        <v>325</v>
      </c>
      <c r="Z57" s="4">
        <v>276</v>
      </c>
      <c r="AA57" s="4">
        <v>279</v>
      </c>
      <c r="AB57" s="4">
        <v>3</v>
      </c>
      <c r="AC57" s="4">
        <v>3</v>
      </c>
      <c r="AD57" s="4">
        <v>19</v>
      </c>
      <c r="AE57" s="4">
        <v>19</v>
      </c>
      <c r="AF57" s="4">
        <v>2</v>
      </c>
      <c r="AG57" s="4">
        <v>2</v>
      </c>
      <c r="AH57" s="4">
        <v>3</v>
      </c>
      <c r="AI57" s="4">
        <v>3</v>
      </c>
      <c r="AJ57" s="4">
        <v>7</v>
      </c>
      <c r="AK57" s="4">
        <v>7</v>
      </c>
      <c r="AL57" s="4">
        <v>1</v>
      </c>
      <c r="AM57" s="4">
        <v>1</v>
      </c>
      <c r="AN57" s="4">
        <v>9</v>
      </c>
      <c r="AO57" s="4">
        <v>9</v>
      </c>
      <c r="AP57" s="3" t="s">
        <v>58</v>
      </c>
      <c r="AQ57" s="3" t="s">
        <v>115</v>
      </c>
      <c r="AR57" s="6" t="str">
        <f>HYPERLINK("http://catalog.hathitrust.org/Record/002905495","HathiTrust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HYPERLINK("https://creighton-primo.hosted.exlibrisgroup.com/primo-explore/search?tab=default_tab&amp;search_scope=EVERYTHING&amp;vid=01CRU&amp;lang=en_US&amp;offset=0&amp;query=any,contains,991001661759702656","Catalog Record")</f>
        <v>Catalog Record</v>
      </c>
      <c r="AT57" s="6" t="str">
        <f>HYPERLINK("http://www.worldcat.org/oclc/29877585","WorldCat Record")</f>
        <v>WorldCat Record</v>
      </c>
      <c r="AU57" s="3" t="s">
        <v>853</v>
      </c>
      <c r="AV57" s="3" t="s">
        <v>854</v>
      </c>
      <c r="AW57" s="3" t="s">
        <v>855</v>
      </c>
      <c r="AX57" s="3" t="s">
        <v>855</v>
      </c>
      <c r="AY57" s="3" t="s">
        <v>856</v>
      </c>
      <c r="AZ57" s="3" t="s">
        <v>73</v>
      </c>
      <c r="BB57" s="3" t="s">
        <v>857</v>
      </c>
      <c r="BC57" s="3" t="s">
        <v>858</v>
      </c>
      <c r="BD57" s="3" t="s">
        <v>859</v>
      </c>
    </row>
    <row r="58" spans="1:56" ht="40.5" customHeight="1" x14ac:dyDescent="0.25">
      <c r="A58" s="8" t="s">
        <v>58</v>
      </c>
      <c r="B58" s="2" t="s">
        <v>860</v>
      </c>
      <c r="C58" s="2" t="s">
        <v>861</v>
      </c>
      <c r="D58" s="2" t="s">
        <v>862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863</v>
      </c>
      <c r="L58" s="2" t="s">
        <v>864</v>
      </c>
      <c r="M58" s="3" t="s">
        <v>698</v>
      </c>
      <c r="O58" s="3" t="s">
        <v>64</v>
      </c>
      <c r="P58" s="3" t="s">
        <v>865</v>
      </c>
      <c r="R58" s="3" t="s">
        <v>66</v>
      </c>
      <c r="S58" s="4">
        <v>5</v>
      </c>
      <c r="T58" s="4">
        <v>5</v>
      </c>
      <c r="U58" s="5" t="s">
        <v>866</v>
      </c>
      <c r="V58" s="5" t="s">
        <v>866</v>
      </c>
      <c r="W58" s="5" t="s">
        <v>867</v>
      </c>
      <c r="X58" s="5" t="s">
        <v>867</v>
      </c>
      <c r="Y58" s="4">
        <v>285</v>
      </c>
      <c r="Z58" s="4">
        <v>229</v>
      </c>
      <c r="AA58" s="4">
        <v>231</v>
      </c>
      <c r="AB58" s="4">
        <v>6</v>
      </c>
      <c r="AC58" s="4">
        <v>6</v>
      </c>
      <c r="AD58" s="4">
        <v>12</v>
      </c>
      <c r="AE58" s="4">
        <v>12</v>
      </c>
      <c r="AF58" s="4">
        <v>3</v>
      </c>
      <c r="AG58" s="4">
        <v>3</v>
      </c>
      <c r="AH58" s="4">
        <v>3</v>
      </c>
      <c r="AI58" s="4">
        <v>3</v>
      </c>
      <c r="AJ58" s="4">
        <v>4</v>
      </c>
      <c r="AK58" s="4">
        <v>4</v>
      </c>
      <c r="AL58" s="4">
        <v>5</v>
      </c>
      <c r="AM58" s="4">
        <v>5</v>
      </c>
      <c r="AN58" s="4">
        <v>0</v>
      </c>
      <c r="AO58" s="4">
        <v>0</v>
      </c>
      <c r="AP58" s="3" t="s">
        <v>58</v>
      </c>
      <c r="AQ58" s="3" t="s">
        <v>115</v>
      </c>
      <c r="AR58" s="6" t="str">
        <f>HYPERLINK("http://catalog.hathitrust.org/Record/001579309","HathiTrust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HYPERLINK("https://creighton-primo.hosted.exlibrisgroup.com/primo-explore/search?tab=default_tab&amp;search_scope=EVERYTHING&amp;vid=01CRU&amp;lang=en_US&amp;offset=0&amp;query=any,contains,991003203099702656","Catalog Record")</f>
        <v>Catalog Record</v>
      </c>
      <c r="AT58" s="6" t="str">
        <f>HYPERLINK("http://www.worldcat.org/oclc/728138","WorldCat Record")</f>
        <v>WorldCat Record</v>
      </c>
      <c r="AU58" s="3" t="s">
        <v>868</v>
      </c>
      <c r="AV58" s="3" t="s">
        <v>869</v>
      </c>
      <c r="AW58" s="3" t="s">
        <v>870</v>
      </c>
      <c r="AX58" s="3" t="s">
        <v>870</v>
      </c>
      <c r="AY58" s="3" t="s">
        <v>871</v>
      </c>
      <c r="AZ58" s="3" t="s">
        <v>73</v>
      </c>
      <c r="BC58" s="3" t="s">
        <v>872</v>
      </c>
      <c r="BD58" s="3" t="s">
        <v>873</v>
      </c>
    </row>
    <row r="59" spans="1:56" ht="40.5" customHeight="1" x14ac:dyDescent="0.25">
      <c r="A59" s="8" t="s">
        <v>58</v>
      </c>
      <c r="B59" s="2" t="s">
        <v>874</v>
      </c>
      <c r="C59" s="2" t="s">
        <v>875</v>
      </c>
      <c r="D59" s="2" t="s">
        <v>876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877</v>
      </c>
      <c r="L59" s="2" t="s">
        <v>878</v>
      </c>
      <c r="M59" s="3" t="s">
        <v>189</v>
      </c>
      <c r="O59" s="3" t="s">
        <v>64</v>
      </c>
      <c r="P59" s="3" t="s">
        <v>643</v>
      </c>
      <c r="R59" s="3" t="s">
        <v>66</v>
      </c>
      <c r="S59" s="4">
        <v>10</v>
      </c>
      <c r="T59" s="4">
        <v>10</v>
      </c>
      <c r="U59" s="5" t="s">
        <v>879</v>
      </c>
      <c r="V59" s="5" t="s">
        <v>879</v>
      </c>
      <c r="W59" s="5" t="s">
        <v>880</v>
      </c>
      <c r="X59" s="5" t="s">
        <v>880</v>
      </c>
      <c r="Y59" s="4">
        <v>98</v>
      </c>
      <c r="Z59" s="4">
        <v>88</v>
      </c>
      <c r="AA59" s="4">
        <v>88</v>
      </c>
      <c r="AB59" s="4">
        <v>1</v>
      </c>
      <c r="AC59" s="4">
        <v>1</v>
      </c>
      <c r="AD59" s="4">
        <v>3</v>
      </c>
      <c r="AE59" s="4">
        <v>3</v>
      </c>
      <c r="AF59" s="4">
        <v>1</v>
      </c>
      <c r="AG59" s="4">
        <v>1</v>
      </c>
      <c r="AH59" s="4">
        <v>1</v>
      </c>
      <c r="AI59" s="4">
        <v>1</v>
      </c>
      <c r="AJ59" s="4">
        <v>2</v>
      </c>
      <c r="AK59" s="4">
        <v>2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HYPERLINK("https://creighton-primo.hosted.exlibrisgroup.com/primo-explore/search?tab=default_tab&amp;search_scope=EVERYTHING&amp;vid=01CRU&amp;lang=en_US&amp;offset=0&amp;query=any,contains,991001953669702656","Catalog Record")</f>
        <v>Catalog Record</v>
      </c>
      <c r="AT59" s="6" t="str">
        <f>HYPERLINK("http://www.worldcat.org/oclc/24698767","WorldCat Record")</f>
        <v>WorldCat Record</v>
      </c>
      <c r="AU59" s="3" t="s">
        <v>881</v>
      </c>
      <c r="AV59" s="3" t="s">
        <v>882</v>
      </c>
      <c r="AW59" s="3" t="s">
        <v>883</v>
      </c>
      <c r="AX59" s="3" t="s">
        <v>883</v>
      </c>
      <c r="AY59" s="3" t="s">
        <v>884</v>
      </c>
      <c r="AZ59" s="3" t="s">
        <v>73</v>
      </c>
      <c r="BB59" s="3" t="s">
        <v>885</v>
      </c>
      <c r="BC59" s="3" t="s">
        <v>886</v>
      </c>
      <c r="BD59" s="3" t="s">
        <v>887</v>
      </c>
    </row>
    <row r="60" spans="1:56" ht="40.5" customHeight="1" x14ac:dyDescent="0.25">
      <c r="A60" s="8" t="s">
        <v>58</v>
      </c>
      <c r="B60" s="2" t="s">
        <v>888</v>
      </c>
      <c r="C60" s="2" t="s">
        <v>889</v>
      </c>
      <c r="D60" s="2" t="s">
        <v>890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L60" s="2" t="s">
        <v>891</v>
      </c>
      <c r="M60" s="3" t="s">
        <v>892</v>
      </c>
      <c r="O60" s="3" t="s">
        <v>64</v>
      </c>
      <c r="P60" s="3" t="s">
        <v>755</v>
      </c>
      <c r="Q60" s="2" t="s">
        <v>893</v>
      </c>
      <c r="R60" s="3" t="s">
        <v>66</v>
      </c>
      <c r="S60" s="4">
        <v>7</v>
      </c>
      <c r="T60" s="4">
        <v>7</v>
      </c>
      <c r="U60" s="5" t="s">
        <v>484</v>
      </c>
      <c r="V60" s="5" t="s">
        <v>484</v>
      </c>
      <c r="W60" s="5" t="s">
        <v>894</v>
      </c>
      <c r="X60" s="5" t="s">
        <v>894</v>
      </c>
      <c r="Y60" s="4">
        <v>208</v>
      </c>
      <c r="Z60" s="4">
        <v>166</v>
      </c>
      <c r="AA60" s="4">
        <v>198</v>
      </c>
      <c r="AB60" s="4">
        <v>3</v>
      </c>
      <c r="AC60" s="4">
        <v>3</v>
      </c>
      <c r="AD60" s="4">
        <v>5</v>
      </c>
      <c r="AE60" s="4">
        <v>5</v>
      </c>
      <c r="AF60" s="4">
        <v>2</v>
      </c>
      <c r="AG60" s="4">
        <v>2</v>
      </c>
      <c r="AH60" s="4">
        <v>1</v>
      </c>
      <c r="AI60" s="4">
        <v>1</v>
      </c>
      <c r="AJ60" s="4">
        <v>1</v>
      </c>
      <c r="AK60" s="4">
        <v>1</v>
      </c>
      <c r="AL60" s="4">
        <v>2</v>
      </c>
      <c r="AM60" s="4">
        <v>2</v>
      </c>
      <c r="AN60" s="4">
        <v>0</v>
      </c>
      <c r="AO60" s="4">
        <v>0</v>
      </c>
      <c r="AP60" s="3" t="s">
        <v>58</v>
      </c>
      <c r="AQ60" s="3" t="s">
        <v>115</v>
      </c>
      <c r="AR60" s="6" t="str">
        <f>HYPERLINK("http://catalog.hathitrust.org/Record/003259667","HathiTrust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HYPERLINK("https://creighton-primo.hosted.exlibrisgroup.com/primo-explore/search?tab=default_tab&amp;search_scope=EVERYTHING&amp;vid=01CRU&amp;lang=en_US&amp;offset=0&amp;query=any,contains,991003503449702656","Catalog Record")</f>
        <v>Catalog Record</v>
      </c>
      <c r="AT60" s="6" t="str">
        <f>HYPERLINK("http://www.worldcat.org/oclc/38494614","WorldCat Record")</f>
        <v>WorldCat Record</v>
      </c>
      <c r="AU60" s="3" t="s">
        <v>895</v>
      </c>
      <c r="AV60" s="3" t="s">
        <v>896</v>
      </c>
      <c r="AW60" s="3" t="s">
        <v>897</v>
      </c>
      <c r="AX60" s="3" t="s">
        <v>897</v>
      </c>
      <c r="AY60" s="3" t="s">
        <v>898</v>
      </c>
      <c r="AZ60" s="3" t="s">
        <v>73</v>
      </c>
      <c r="BB60" s="3" t="s">
        <v>899</v>
      </c>
      <c r="BC60" s="3" t="s">
        <v>900</v>
      </c>
      <c r="BD60" s="3" t="s">
        <v>901</v>
      </c>
    </row>
    <row r="61" spans="1:56" ht="40.5" customHeight="1" x14ac:dyDescent="0.25">
      <c r="A61" s="8" t="s">
        <v>58</v>
      </c>
      <c r="B61" s="2" t="s">
        <v>902</v>
      </c>
      <c r="C61" s="2" t="s">
        <v>903</v>
      </c>
      <c r="D61" s="2" t="s">
        <v>904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905</v>
      </c>
      <c r="L61" s="2" t="s">
        <v>906</v>
      </c>
      <c r="M61" s="3" t="s">
        <v>907</v>
      </c>
      <c r="O61" s="3" t="s">
        <v>64</v>
      </c>
      <c r="P61" s="3" t="s">
        <v>65</v>
      </c>
      <c r="R61" s="3" t="s">
        <v>66</v>
      </c>
      <c r="S61" s="4">
        <v>2</v>
      </c>
      <c r="T61" s="4">
        <v>2</v>
      </c>
      <c r="U61" s="5" t="s">
        <v>908</v>
      </c>
      <c r="V61" s="5" t="s">
        <v>908</v>
      </c>
      <c r="W61" s="5" t="s">
        <v>908</v>
      </c>
      <c r="X61" s="5" t="s">
        <v>908</v>
      </c>
      <c r="Y61" s="4">
        <v>207</v>
      </c>
      <c r="Z61" s="4">
        <v>159</v>
      </c>
      <c r="AA61" s="4">
        <v>179</v>
      </c>
      <c r="AB61" s="4">
        <v>1</v>
      </c>
      <c r="AC61" s="4">
        <v>1</v>
      </c>
      <c r="AD61" s="4">
        <v>2</v>
      </c>
      <c r="AE61" s="4">
        <v>2</v>
      </c>
      <c r="AF61" s="4">
        <v>2</v>
      </c>
      <c r="AG61" s="4">
        <v>2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HYPERLINK("https://creighton-primo.hosted.exlibrisgroup.com/primo-explore/search?tab=default_tab&amp;search_scope=EVERYTHING&amp;vid=01CRU&amp;lang=en_US&amp;offset=0&amp;query=any,contains,991005139249702656","Catalog Record")</f>
        <v>Catalog Record</v>
      </c>
      <c r="AT61" s="6" t="str">
        <f>HYPERLINK("http://www.worldcat.org/oclc/62493293","WorldCat Record")</f>
        <v>WorldCat Record</v>
      </c>
      <c r="AU61" s="3" t="s">
        <v>909</v>
      </c>
      <c r="AV61" s="3" t="s">
        <v>910</v>
      </c>
      <c r="AW61" s="3" t="s">
        <v>911</v>
      </c>
      <c r="AX61" s="3" t="s">
        <v>911</v>
      </c>
      <c r="AY61" s="3" t="s">
        <v>912</v>
      </c>
      <c r="AZ61" s="3" t="s">
        <v>73</v>
      </c>
      <c r="BB61" s="3" t="s">
        <v>913</v>
      </c>
      <c r="BC61" s="3" t="s">
        <v>914</v>
      </c>
      <c r="BD61" s="3" t="s">
        <v>915</v>
      </c>
    </row>
    <row r="62" spans="1:56" ht="40.5" customHeight="1" x14ac:dyDescent="0.25">
      <c r="A62" s="8" t="s">
        <v>58</v>
      </c>
      <c r="B62" s="2" t="s">
        <v>916</v>
      </c>
      <c r="C62" s="2" t="s">
        <v>917</v>
      </c>
      <c r="D62" s="2" t="s">
        <v>918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919</v>
      </c>
      <c r="L62" s="2" t="s">
        <v>920</v>
      </c>
      <c r="M62" s="3" t="s">
        <v>921</v>
      </c>
      <c r="N62" s="2" t="s">
        <v>174</v>
      </c>
      <c r="O62" s="3" t="s">
        <v>64</v>
      </c>
      <c r="P62" s="3" t="s">
        <v>65</v>
      </c>
      <c r="R62" s="3" t="s">
        <v>66</v>
      </c>
      <c r="S62" s="4">
        <v>3</v>
      </c>
      <c r="T62" s="4">
        <v>3</v>
      </c>
      <c r="U62" s="5" t="s">
        <v>922</v>
      </c>
      <c r="V62" s="5" t="s">
        <v>922</v>
      </c>
      <c r="W62" s="5" t="s">
        <v>923</v>
      </c>
      <c r="X62" s="5" t="s">
        <v>923</v>
      </c>
      <c r="Y62" s="4">
        <v>1115</v>
      </c>
      <c r="Z62" s="4">
        <v>1051</v>
      </c>
      <c r="AA62" s="4">
        <v>1188</v>
      </c>
      <c r="AB62" s="4">
        <v>4</v>
      </c>
      <c r="AC62" s="4">
        <v>6</v>
      </c>
      <c r="AD62" s="4">
        <v>21</v>
      </c>
      <c r="AE62" s="4">
        <v>26</v>
      </c>
      <c r="AF62" s="4">
        <v>12</v>
      </c>
      <c r="AG62" s="4">
        <v>14</v>
      </c>
      <c r="AH62" s="4">
        <v>3</v>
      </c>
      <c r="AI62" s="4">
        <v>3</v>
      </c>
      <c r="AJ62" s="4">
        <v>10</v>
      </c>
      <c r="AK62" s="4">
        <v>11</v>
      </c>
      <c r="AL62" s="4">
        <v>1</v>
      </c>
      <c r="AM62" s="4">
        <v>3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HYPERLINK("https://creighton-primo.hosted.exlibrisgroup.com/primo-explore/search?tab=default_tab&amp;search_scope=EVERYTHING&amp;vid=01CRU&amp;lang=en_US&amp;offset=0&amp;query=any,contains,991004283989702656","Catalog Record")</f>
        <v>Catalog Record</v>
      </c>
      <c r="AT62" s="6" t="str">
        <f>HYPERLINK("http://www.worldcat.org/oclc/52727654","WorldCat Record")</f>
        <v>WorldCat Record</v>
      </c>
      <c r="AU62" s="3" t="s">
        <v>924</v>
      </c>
      <c r="AV62" s="3" t="s">
        <v>925</v>
      </c>
      <c r="AW62" s="3" t="s">
        <v>926</v>
      </c>
      <c r="AX62" s="3" t="s">
        <v>926</v>
      </c>
      <c r="AY62" s="3" t="s">
        <v>927</v>
      </c>
      <c r="AZ62" s="3" t="s">
        <v>73</v>
      </c>
      <c r="BB62" s="3" t="s">
        <v>928</v>
      </c>
      <c r="BC62" s="3" t="s">
        <v>929</v>
      </c>
      <c r="BD62" s="3" t="s">
        <v>930</v>
      </c>
    </row>
    <row r="63" spans="1:56" ht="40.5" customHeight="1" x14ac:dyDescent="0.25">
      <c r="A63" s="8" t="s">
        <v>58</v>
      </c>
      <c r="B63" s="2" t="s">
        <v>931</v>
      </c>
      <c r="C63" s="2" t="s">
        <v>932</v>
      </c>
      <c r="D63" s="2" t="s">
        <v>933</v>
      </c>
      <c r="F63" s="3" t="s">
        <v>58</v>
      </c>
      <c r="G63" s="3" t="s">
        <v>59</v>
      </c>
      <c r="H63" s="3" t="s">
        <v>58</v>
      </c>
      <c r="I63" s="3" t="s">
        <v>115</v>
      </c>
      <c r="J63" s="3" t="s">
        <v>60</v>
      </c>
      <c r="K63" s="2" t="s">
        <v>934</v>
      </c>
      <c r="L63" s="2" t="s">
        <v>935</v>
      </c>
      <c r="M63" s="3" t="s">
        <v>290</v>
      </c>
      <c r="N63" s="2" t="s">
        <v>936</v>
      </c>
      <c r="O63" s="3" t="s">
        <v>64</v>
      </c>
      <c r="P63" s="3" t="s">
        <v>291</v>
      </c>
      <c r="R63" s="3" t="s">
        <v>66</v>
      </c>
      <c r="S63" s="4">
        <v>10</v>
      </c>
      <c r="T63" s="4">
        <v>10</v>
      </c>
      <c r="U63" s="5" t="s">
        <v>937</v>
      </c>
      <c r="V63" s="5" t="s">
        <v>937</v>
      </c>
      <c r="W63" s="5" t="s">
        <v>411</v>
      </c>
      <c r="X63" s="5" t="s">
        <v>411</v>
      </c>
      <c r="Y63" s="4">
        <v>180</v>
      </c>
      <c r="Z63" s="4">
        <v>153</v>
      </c>
      <c r="AA63" s="4">
        <v>319</v>
      </c>
      <c r="AB63" s="4">
        <v>1</v>
      </c>
      <c r="AC63" s="4">
        <v>3</v>
      </c>
      <c r="AD63" s="4">
        <v>4</v>
      </c>
      <c r="AE63" s="4">
        <v>9</v>
      </c>
      <c r="AF63" s="4">
        <v>2</v>
      </c>
      <c r="AG63" s="4">
        <v>5</v>
      </c>
      <c r="AH63" s="4">
        <v>2</v>
      </c>
      <c r="AI63" s="4">
        <v>2</v>
      </c>
      <c r="AJ63" s="4">
        <v>1</v>
      </c>
      <c r="AK63" s="4">
        <v>3</v>
      </c>
      <c r="AL63" s="4">
        <v>0</v>
      </c>
      <c r="AM63" s="4">
        <v>1</v>
      </c>
      <c r="AN63" s="4">
        <v>0</v>
      </c>
      <c r="AO63" s="4">
        <v>0</v>
      </c>
      <c r="AP63" s="3" t="s">
        <v>58</v>
      </c>
      <c r="AQ63" s="3" t="s">
        <v>115</v>
      </c>
      <c r="AR63" s="6" t="str">
        <f>HYPERLINK("http://catalog.hathitrust.org/Record/004538292","HathiTrust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HYPERLINK("https://creighton-primo.hosted.exlibrisgroup.com/primo-explore/search?tab=default_tab&amp;search_scope=EVERYTHING&amp;vid=01CRU&amp;lang=en_US&amp;offset=0&amp;query=any,contains,991001092379702656","Catalog Record")</f>
        <v>Catalog Record</v>
      </c>
      <c r="AT63" s="6" t="str">
        <f>HYPERLINK("http://www.worldcat.org/oclc/16225909","WorldCat Record")</f>
        <v>WorldCat Record</v>
      </c>
      <c r="AU63" s="3" t="s">
        <v>938</v>
      </c>
      <c r="AV63" s="3" t="s">
        <v>939</v>
      </c>
      <c r="AW63" s="3" t="s">
        <v>940</v>
      </c>
      <c r="AX63" s="3" t="s">
        <v>940</v>
      </c>
      <c r="AY63" s="3" t="s">
        <v>941</v>
      </c>
      <c r="AZ63" s="3" t="s">
        <v>73</v>
      </c>
      <c r="BB63" s="3" t="s">
        <v>942</v>
      </c>
      <c r="BC63" s="3" t="s">
        <v>943</v>
      </c>
      <c r="BD63" s="3" t="s">
        <v>944</v>
      </c>
    </row>
    <row r="64" spans="1:56" ht="40.5" customHeight="1" x14ac:dyDescent="0.25">
      <c r="A64" s="8" t="s">
        <v>58</v>
      </c>
      <c r="B64" s="2" t="s">
        <v>945</v>
      </c>
      <c r="C64" s="2" t="s">
        <v>946</v>
      </c>
      <c r="D64" s="2" t="s">
        <v>947</v>
      </c>
      <c r="F64" s="3" t="s">
        <v>58</v>
      </c>
      <c r="G64" s="3" t="s">
        <v>59</v>
      </c>
      <c r="H64" s="3" t="s">
        <v>115</v>
      </c>
      <c r="I64" s="3" t="s">
        <v>115</v>
      </c>
      <c r="J64" s="3" t="s">
        <v>60</v>
      </c>
      <c r="K64" s="2" t="s">
        <v>948</v>
      </c>
      <c r="L64" s="2" t="s">
        <v>949</v>
      </c>
      <c r="M64" s="3" t="s">
        <v>173</v>
      </c>
      <c r="O64" s="3" t="s">
        <v>64</v>
      </c>
      <c r="P64" s="3" t="s">
        <v>643</v>
      </c>
      <c r="R64" s="3" t="s">
        <v>66</v>
      </c>
      <c r="S64" s="4">
        <v>1</v>
      </c>
      <c r="T64" s="4">
        <v>20</v>
      </c>
      <c r="V64" s="5" t="s">
        <v>950</v>
      </c>
      <c r="W64" s="5" t="s">
        <v>951</v>
      </c>
      <c r="X64" s="5" t="s">
        <v>951</v>
      </c>
      <c r="Y64" s="4">
        <v>273</v>
      </c>
      <c r="Z64" s="4">
        <v>196</v>
      </c>
      <c r="AA64" s="4">
        <v>399</v>
      </c>
      <c r="AB64" s="4">
        <v>2</v>
      </c>
      <c r="AC64" s="4">
        <v>3</v>
      </c>
      <c r="AD64" s="4">
        <v>7</v>
      </c>
      <c r="AE64" s="4">
        <v>17</v>
      </c>
      <c r="AF64" s="4">
        <v>3</v>
      </c>
      <c r="AG64" s="4">
        <v>8</v>
      </c>
      <c r="AH64" s="4">
        <v>2</v>
      </c>
      <c r="AI64" s="4">
        <v>4</v>
      </c>
      <c r="AJ64" s="4">
        <v>3</v>
      </c>
      <c r="AK64" s="4">
        <v>7</v>
      </c>
      <c r="AL64" s="4">
        <v>0</v>
      </c>
      <c r="AM64" s="4">
        <v>1</v>
      </c>
      <c r="AN64" s="4">
        <v>0</v>
      </c>
      <c r="AO64" s="4">
        <v>0</v>
      </c>
      <c r="AP64" s="3" t="s">
        <v>58</v>
      </c>
      <c r="AQ64" s="3" t="s">
        <v>115</v>
      </c>
      <c r="AR64" s="6" t="str">
        <f>HYPERLINK("http://catalog.hathitrust.org/Record/002960532","HathiTrust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HYPERLINK("https://creighton-primo.hosted.exlibrisgroup.com/primo-explore/search?tab=default_tab&amp;search_scope=EVERYTHING&amp;vid=01CRU&amp;lang=en_US&amp;offset=0&amp;query=any,contains,991001804159702656","Catalog Record")</f>
        <v>Catalog Record</v>
      </c>
      <c r="AT64" s="6" t="str">
        <f>HYPERLINK("http://www.worldcat.org/oclc/30894139","WorldCat Record")</f>
        <v>WorldCat Record</v>
      </c>
      <c r="AU64" s="3" t="s">
        <v>952</v>
      </c>
      <c r="AV64" s="3" t="s">
        <v>953</v>
      </c>
      <c r="AW64" s="3" t="s">
        <v>954</v>
      </c>
      <c r="AX64" s="3" t="s">
        <v>954</v>
      </c>
      <c r="AY64" s="3" t="s">
        <v>955</v>
      </c>
      <c r="AZ64" s="3" t="s">
        <v>73</v>
      </c>
      <c r="BB64" s="3" t="s">
        <v>956</v>
      </c>
      <c r="BC64" s="3" t="s">
        <v>957</v>
      </c>
      <c r="BD64" s="3" t="s">
        <v>958</v>
      </c>
    </row>
    <row r="65" spans="1:56" ht="40.5" customHeight="1" x14ac:dyDescent="0.25">
      <c r="A65" s="8" t="s">
        <v>58</v>
      </c>
      <c r="B65" s="2" t="s">
        <v>959</v>
      </c>
      <c r="C65" s="2" t="s">
        <v>960</v>
      </c>
      <c r="D65" s="2" t="s">
        <v>961</v>
      </c>
      <c r="F65" s="3" t="s">
        <v>58</v>
      </c>
      <c r="G65" s="3" t="s">
        <v>59</v>
      </c>
      <c r="H65" s="3" t="s">
        <v>58</v>
      </c>
      <c r="I65" s="3" t="s">
        <v>115</v>
      </c>
      <c r="J65" s="3" t="s">
        <v>60</v>
      </c>
      <c r="K65" s="2" t="s">
        <v>962</v>
      </c>
      <c r="L65" s="2" t="s">
        <v>963</v>
      </c>
      <c r="M65" s="3" t="s">
        <v>725</v>
      </c>
      <c r="N65" s="2" t="s">
        <v>964</v>
      </c>
      <c r="O65" s="3" t="s">
        <v>64</v>
      </c>
      <c r="P65" s="3" t="s">
        <v>144</v>
      </c>
      <c r="R65" s="3" t="s">
        <v>66</v>
      </c>
      <c r="S65" s="4">
        <v>9</v>
      </c>
      <c r="T65" s="4">
        <v>9</v>
      </c>
      <c r="U65" s="5" t="s">
        <v>965</v>
      </c>
      <c r="V65" s="5" t="s">
        <v>965</v>
      </c>
      <c r="W65" s="5" t="s">
        <v>966</v>
      </c>
      <c r="X65" s="5" t="s">
        <v>966</v>
      </c>
      <c r="Y65" s="4">
        <v>291</v>
      </c>
      <c r="Z65" s="4">
        <v>239</v>
      </c>
      <c r="AA65" s="4">
        <v>390</v>
      </c>
      <c r="AB65" s="4">
        <v>3</v>
      </c>
      <c r="AC65" s="4">
        <v>6</v>
      </c>
      <c r="AD65" s="4">
        <v>4</v>
      </c>
      <c r="AE65" s="4">
        <v>10</v>
      </c>
      <c r="AF65" s="4">
        <v>1</v>
      </c>
      <c r="AG65" s="4">
        <v>4</v>
      </c>
      <c r="AH65" s="4">
        <v>1</v>
      </c>
      <c r="AI65" s="4">
        <v>1</v>
      </c>
      <c r="AJ65" s="4">
        <v>0</v>
      </c>
      <c r="AK65" s="4">
        <v>1</v>
      </c>
      <c r="AL65" s="4">
        <v>2</v>
      </c>
      <c r="AM65" s="4">
        <v>4</v>
      </c>
      <c r="AN65" s="4">
        <v>0</v>
      </c>
      <c r="AO65" s="4">
        <v>0</v>
      </c>
      <c r="AP65" s="3" t="s">
        <v>58</v>
      </c>
      <c r="AQ65" s="3" t="s">
        <v>115</v>
      </c>
      <c r="AR65" s="6" t="str">
        <f>HYPERLINK("http://catalog.hathitrust.org/Record/000279725","HathiTrust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HYPERLINK("https://creighton-primo.hosted.exlibrisgroup.com/primo-explore/search?tab=default_tab&amp;search_scope=EVERYTHING&amp;vid=01CRU&amp;lang=en_US&amp;offset=0&amp;query=any,contains,991005229019702656","Catalog Record")</f>
        <v>Catalog Record</v>
      </c>
      <c r="AT65" s="6" t="str">
        <f>HYPERLINK("http://www.worldcat.org/oclc/8305917","WorldCat Record")</f>
        <v>WorldCat Record</v>
      </c>
      <c r="AU65" s="3" t="s">
        <v>967</v>
      </c>
      <c r="AV65" s="3" t="s">
        <v>968</v>
      </c>
      <c r="AW65" s="3" t="s">
        <v>969</v>
      </c>
      <c r="AX65" s="3" t="s">
        <v>969</v>
      </c>
      <c r="AY65" s="3" t="s">
        <v>970</v>
      </c>
      <c r="AZ65" s="3" t="s">
        <v>73</v>
      </c>
      <c r="BB65" s="3" t="s">
        <v>971</v>
      </c>
      <c r="BC65" s="3" t="s">
        <v>972</v>
      </c>
      <c r="BD65" s="3" t="s">
        <v>973</v>
      </c>
    </row>
    <row r="66" spans="1:56" ht="40.5" customHeight="1" x14ac:dyDescent="0.25">
      <c r="A66" s="8" t="s">
        <v>58</v>
      </c>
      <c r="B66" s="2" t="s">
        <v>974</v>
      </c>
      <c r="C66" s="2" t="s">
        <v>975</v>
      </c>
      <c r="D66" s="2" t="s">
        <v>976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977</v>
      </c>
      <c r="L66" s="2" t="s">
        <v>978</v>
      </c>
      <c r="M66" s="3" t="s">
        <v>321</v>
      </c>
      <c r="O66" s="3" t="s">
        <v>64</v>
      </c>
      <c r="P66" s="3" t="s">
        <v>65</v>
      </c>
      <c r="Q66" s="2" t="s">
        <v>979</v>
      </c>
      <c r="R66" s="3" t="s">
        <v>66</v>
      </c>
      <c r="S66" s="4">
        <v>23</v>
      </c>
      <c r="T66" s="4">
        <v>23</v>
      </c>
      <c r="U66" s="5" t="s">
        <v>980</v>
      </c>
      <c r="V66" s="5" t="s">
        <v>980</v>
      </c>
      <c r="W66" s="5" t="s">
        <v>981</v>
      </c>
      <c r="X66" s="5" t="s">
        <v>981</v>
      </c>
      <c r="Y66" s="4">
        <v>142</v>
      </c>
      <c r="Z66" s="4">
        <v>142</v>
      </c>
      <c r="AA66" s="4">
        <v>147</v>
      </c>
      <c r="AB66" s="4">
        <v>1</v>
      </c>
      <c r="AC66" s="4">
        <v>1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HYPERLINK("https://creighton-primo.hosted.exlibrisgroup.com/primo-explore/search?tab=default_tab&amp;search_scope=EVERYTHING&amp;vid=01CRU&amp;lang=en_US&amp;offset=0&amp;query=any,contains,991004286749702656","Catalog Record")</f>
        <v>Catalog Record</v>
      </c>
      <c r="AT66" s="6" t="str">
        <f>HYPERLINK("http://www.worldcat.org/oclc/2929209","WorldCat Record")</f>
        <v>WorldCat Record</v>
      </c>
      <c r="AU66" s="3" t="s">
        <v>982</v>
      </c>
      <c r="AV66" s="3" t="s">
        <v>983</v>
      </c>
      <c r="AW66" s="3" t="s">
        <v>984</v>
      </c>
      <c r="AX66" s="3" t="s">
        <v>984</v>
      </c>
      <c r="AY66" s="3" t="s">
        <v>985</v>
      </c>
      <c r="AZ66" s="3" t="s">
        <v>73</v>
      </c>
      <c r="BB66" s="3" t="s">
        <v>986</v>
      </c>
      <c r="BC66" s="3" t="s">
        <v>987</v>
      </c>
      <c r="BD66" s="3" t="s">
        <v>988</v>
      </c>
    </row>
    <row r="67" spans="1:56" ht="40.5" customHeight="1" x14ac:dyDescent="0.25">
      <c r="A67" s="8" t="s">
        <v>58</v>
      </c>
      <c r="B67" s="2" t="s">
        <v>989</v>
      </c>
      <c r="C67" s="2" t="s">
        <v>990</v>
      </c>
      <c r="D67" s="2" t="s">
        <v>991</v>
      </c>
      <c r="F67" s="3" t="s">
        <v>58</v>
      </c>
      <c r="G67" s="3" t="s">
        <v>59</v>
      </c>
      <c r="H67" s="3" t="s">
        <v>115</v>
      </c>
      <c r="I67" s="3" t="s">
        <v>115</v>
      </c>
      <c r="J67" s="3" t="s">
        <v>60</v>
      </c>
      <c r="L67" s="2" t="s">
        <v>992</v>
      </c>
      <c r="M67" s="3" t="s">
        <v>993</v>
      </c>
      <c r="O67" s="3" t="s">
        <v>64</v>
      </c>
      <c r="P67" s="3" t="s">
        <v>190</v>
      </c>
      <c r="R67" s="3" t="s">
        <v>66</v>
      </c>
      <c r="S67" s="4">
        <v>7</v>
      </c>
      <c r="T67" s="4">
        <v>33</v>
      </c>
      <c r="U67" s="5" t="s">
        <v>994</v>
      </c>
      <c r="V67" s="5" t="s">
        <v>994</v>
      </c>
      <c r="W67" s="5" t="s">
        <v>995</v>
      </c>
      <c r="X67" s="5" t="s">
        <v>995</v>
      </c>
      <c r="Y67" s="4">
        <v>158</v>
      </c>
      <c r="Z67" s="4">
        <v>112</v>
      </c>
      <c r="AA67" s="4">
        <v>233</v>
      </c>
      <c r="AB67" s="4">
        <v>2</v>
      </c>
      <c r="AC67" s="4">
        <v>2</v>
      </c>
      <c r="AD67" s="4">
        <v>3</v>
      </c>
      <c r="AE67" s="4">
        <v>7</v>
      </c>
      <c r="AF67" s="4">
        <v>3</v>
      </c>
      <c r="AG67" s="4">
        <v>6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3" t="s">
        <v>58</v>
      </c>
      <c r="AQ67" s="3" t="s">
        <v>115</v>
      </c>
      <c r="AR67" s="6" t="str">
        <f>HYPERLINK("http://catalog.hathitrust.org/Record/004040175","HathiTrust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HYPERLINK("https://creighton-primo.hosted.exlibrisgroup.com/primo-explore/search?tab=default_tab&amp;search_scope=EVERYTHING&amp;vid=01CRU&amp;lang=en_US&amp;offset=0&amp;query=any,contains,991001746529702656","Catalog Record")</f>
        <v>Catalog Record</v>
      </c>
      <c r="AT67" s="6" t="str">
        <f>HYPERLINK("http://www.worldcat.org/oclc/40940132","WorldCat Record")</f>
        <v>WorldCat Record</v>
      </c>
      <c r="AU67" s="3" t="s">
        <v>996</v>
      </c>
      <c r="AV67" s="3" t="s">
        <v>997</v>
      </c>
      <c r="AW67" s="3" t="s">
        <v>998</v>
      </c>
      <c r="AX67" s="3" t="s">
        <v>998</v>
      </c>
      <c r="AY67" s="3" t="s">
        <v>999</v>
      </c>
      <c r="AZ67" s="3" t="s">
        <v>73</v>
      </c>
      <c r="BB67" s="3" t="s">
        <v>1000</v>
      </c>
      <c r="BC67" s="3" t="s">
        <v>1001</v>
      </c>
      <c r="BD67" s="3" t="s">
        <v>1002</v>
      </c>
    </row>
    <row r="68" spans="1:56" ht="40.5" customHeight="1" x14ac:dyDescent="0.25">
      <c r="A68" s="8" t="s">
        <v>58</v>
      </c>
      <c r="B68" s="2" t="s">
        <v>1003</v>
      </c>
      <c r="C68" s="2" t="s">
        <v>1004</v>
      </c>
      <c r="D68" s="2" t="s">
        <v>1005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1006</v>
      </c>
      <c r="L68" s="2" t="s">
        <v>1007</v>
      </c>
      <c r="M68" s="3" t="s">
        <v>111</v>
      </c>
      <c r="O68" s="3" t="s">
        <v>64</v>
      </c>
      <c r="P68" s="3" t="s">
        <v>144</v>
      </c>
      <c r="Q68" s="2" t="s">
        <v>1008</v>
      </c>
      <c r="R68" s="3" t="s">
        <v>66</v>
      </c>
      <c r="S68" s="4">
        <v>3</v>
      </c>
      <c r="T68" s="4">
        <v>3</v>
      </c>
      <c r="U68" s="5" t="s">
        <v>1009</v>
      </c>
      <c r="V68" s="5" t="s">
        <v>1009</v>
      </c>
      <c r="W68" s="5" t="s">
        <v>1010</v>
      </c>
      <c r="X68" s="5" t="s">
        <v>1010</v>
      </c>
      <c r="Y68" s="4">
        <v>202</v>
      </c>
      <c r="Z68" s="4">
        <v>146</v>
      </c>
      <c r="AA68" s="4">
        <v>153</v>
      </c>
      <c r="AB68" s="4">
        <v>2</v>
      </c>
      <c r="AC68" s="4">
        <v>2</v>
      </c>
      <c r="AD68" s="4">
        <v>3</v>
      </c>
      <c r="AE68" s="4">
        <v>3</v>
      </c>
      <c r="AF68" s="4">
        <v>2</v>
      </c>
      <c r="AG68" s="4">
        <v>2</v>
      </c>
      <c r="AH68" s="4">
        <v>0</v>
      </c>
      <c r="AI68" s="4">
        <v>0</v>
      </c>
      <c r="AJ68" s="4">
        <v>1</v>
      </c>
      <c r="AK68" s="4">
        <v>1</v>
      </c>
      <c r="AL68" s="4">
        <v>1</v>
      </c>
      <c r="AM68" s="4">
        <v>1</v>
      </c>
      <c r="AN68" s="4">
        <v>0</v>
      </c>
      <c r="AO68" s="4">
        <v>0</v>
      </c>
      <c r="AP68" s="3" t="s">
        <v>58</v>
      </c>
      <c r="AQ68" s="3" t="s">
        <v>115</v>
      </c>
      <c r="AR68" s="6" t="str">
        <f>HYPERLINK("http://catalog.hathitrust.org/Record/001573280","HathiTrust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HYPERLINK("https://creighton-primo.hosted.exlibrisgroup.com/primo-explore/search?tab=default_tab&amp;search_scope=EVERYTHING&amp;vid=01CRU&amp;lang=en_US&amp;offset=0&amp;query=any,contains,991003278539702656","Catalog Record")</f>
        <v>Catalog Record</v>
      </c>
      <c r="AT68" s="6" t="str">
        <f>HYPERLINK("http://www.worldcat.org/oclc/801646","WorldCat Record")</f>
        <v>WorldCat Record</v>
      </c>
      <c r="AU68" s="3" t="s">
        <v>1011</v>
      </c>
      <c r="AV68" s="3" t="s">
        <v>1012</v>
      </c>
      <c r="AW68" s="3" t="s">
        <v>1013</v>
      </c>
      <c r="AX68" s="3" t="s">
        <v>1013</v>
      </c>
      <c r="AY68" s="3" t="s">
        <v>1014</v>
      </c>
      <c r="AZ68" s="3" t="s">
        <v>73</v>
      </c>
      <c r="BB68" s="3" t="s">
        <v>1015</v>
      </c>
      <c r="BC68" s="3" t="s">
        <v>1016</v>
      </c>
      <c r="BD68" s="3" t="s">
        <v>1017</v>
      </c>
    </row>
    <row r="69" spans="1:56" ht="40.5" customHeight="1" x14ac:dyDescent="0.25">
      <c r="A69" s="8" t="s">
        <v>58</v>
      </c>
      <c r="B69" s="2" t="s">
        <v>1018</v>
      </c>
      <c r="C69" s="2" t="s">
        <v>1019</v>
      </c>
      <c r="D69" s="2" t="s">
        <v>1020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1021</v>
      </c>
      <c r="L69" s="2" t="s">
        <v>1022</v>
      </c>
      <c r="M69" s="3" t="s">
        <v>1023</v>
      </c>
      <c r="O69" s="3" t="s">
        <v>64</v>
      </c>
      <c r="P69" s="3" t="s">
        <v>337</v>
      </c>
      <c r="R69" s="3" t="s">
        <v>66</v>
      </c>
      <c r="S69" s="4">
        <v>4</v>
      </c>
      <c r="T69" s="4">
        <v>4</v>
      </c>
      <c r="U69" s="5" t="s">
        <v>1024</v>
      </c>
      <c r="V69" s="5" t="s">
        <v>1024</v>
      </c>
      <c r="W69" s="5" t="s">
        <v>1025</v>
      </c>
      <c r="X69" s="5" t="s">
        <v>1025</v>
      </c>
      <c r="Y69" s="4">
        <v>307</v>
      </c>
      <c r="Z69" s="4">
        <v>278</v>
      </c>
      <c r="AA69" s="4">
        <v>293</v>
      </c>
      <c r="AB69" s="4">
        <v>4</v>
      </c>
      <c r="AC69" s="4">
        <v>4</v>
      </c>
      <c r="AD69" s="4">
        <v>3</v>
      </c>
      <c r="AE69" s="4">
        <v>3</v>
      </c>
      <c r="AF69" s="4">
        <v>1</v>
      </c>
      <c r="AG69" s="4">
        <v>1</v>
      </c>
      <c r="AH69" s="4">
        <v>0</v>
      </c>
      <c r="AI69" s="4">
        <v>0</v>
      </c>
      <c r="AJ69" s="4">
        <v>0</v>
      </c>
      <c r="AK69" s="4">
        <v>0</v>
      </c>
      <c r="AL69" s="4">
        <v>2</v>
      </c>
      <c r="AM69" s="4">
        <v>2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HYPERLINK("https://creighton-primo.hosted.exlibrisgroup.com/primo-explore/search?tab=default_tab&amp;search_scope=EVERYTHING&amp;vid=01CRU&amp;lang=en_US&amp;offset=0&amp;query=any,contains,991005096369702656","Catalog Record")</f>
        <v>Catalog Record</v>
      </c>
      <c r="AT69" s="6" t="str">
        <f>HYPERLINK("http://www.worldcat.org/oclc/76141218","WorldCat Record")</f>
        <v>WorldCat Record</v>
      </c>
      <c r="AU69" s="3" t="s">
        <v>1026</v>
      </c>
      <c r="AV69" s="3" t="s">
        <v>1027</v>
      </c>
      <c r="AW69" s="3" t="s">
        <v>1028</v>
      </c>
      <c r="AX69" s="3" t="s">
        <v>1028</v>
      </c>
      <c r="AY69" s="3" t="s">
        <v>1029</v>
      </c>
      <c r="AZ69" s="3" t="s">
        <v>73</v>
      </c>
      <c r="BB69" s="3" t="s">
        <v>1030</v>
      </c>
      <c r="BC69" s="3" t="s">
        <v>1031</v>
      </c>
      <c r="BD69" s="3" t="s">
        <v>1032</v>
      </c>
    </row>
    <row r="70" spans="1:56" ht="40.5" customHeight="1" x14ac:dyDescent="0.25">
      <c r="A70" s="8" t="s">
        <v>58</v>
      </c>
      <c r="B70" s="2" t="s">
        <v>1033</v>
      </c>
      <c r="C70" s="2" t="s">
        <v>1034</v>
      </c>
      <c r="D70" s="2" t="s">
        <v>1035</v>
      </c>
      <c r="F70" s="3" t="s">
        <v>58</v>
      </c>
      <c r="G70" s="3" t="s">
        <v>59</v>
      </c>
      <c r="H70" s="3" t="s">
        <v>58</v>
      </c>
      <c r="I70" s="3" t="s">
        <v>115</v>
      </c>
      <c r="J70" s="3" t="s">
        <v>60</v>
      </c>
      <c r="L70" s="2" t="s">
        <v>1036</v>
      </c>
      <c r="M70" s="3" t="s">
        <v>1037</v>
      </c>
      <c r="N70" s="2" t="s">
        <v>143</v>
      </c>
      <c r="O70" s="3" t="s">
        <v>64</v>
      </c>
      <c r="P70" s="3" t="s">
        <v>291</v>
      </c>
      <c r="R70" s="3" t="s">
        <v>66</v>
      </c>
      <c r="S70" s="4">
        <v>1</v>
      </c>
      <c r="T70" s="4">
        <v>1</v>
      </c>
      <c r="U70" s="5" t="s">
        <v>1038</v>
      </c>
      <c r="V70" s="5" t="s">
        <v>1038</v>
      </c>
      <c r="W70" s="5" t="s">
        <v>1038</v>
      </c>
      <c r="X70" s="5" t="s">
        <v>1038</v>
      </c>
      <c r="Y70" s="4">
        <v>282</v>
      </c>
      <c r="Z70" s="4">
        <v>160</v>
      </c>
      <c r="AA70" s="4">
        <v>443</v>
      </c>
      <c r="AB70" s="4">
        <v>1</v>
      </c>
      <c r="AC70" s="4">
        <v>6</v>
      </c>
      <c r="AD70" s="4">
        <v>6</v>
      </c>
      <c r="AE70" s="4">
        <v>15</v>
      </c>
      <c r="AF70" s="4">
        <v>4</v>
      </c>
      <c r="AG70" s="4">
        <v>7</v>
      </c>
      <c r="AH70" s="4">
        <v>2</v>
      </c>
      <c r="AI70" s="4">
        <v>3</v>
      </c>
      <c r="AJ70" s="4">
        <v>3</v>
      </c>
      <c r="AK70" s="4">
        <v>5</v>
      </c>
      <c r="AL70" s="4">
        <v>0</v>
      </c>
      <c r="AM70" s="4">
        <v>4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HYPERLINK("https://creighton-primo.hosted.exlibrisgroup.com/primo-explore/search?tab=default_tab&amp;search_scope=EVERYTHING&amp;vid=01CRU&amp;lang=en_US&amp;offset=0&amp;query=any,contains,991005297019702656","Catalog Record")</f>
        <v>Catalog Record</v>
      </c>
      <c r="AT70" s="6" t="str">
        <f>HYPERLINK("http://www.worldcat.org/oclc/229430519","WorldCat Record")</f>
        <v>WorldCat Record</v>
      </c>
      <c r="AU70" s="3" t="s">
        <v>1039</v>
      </c>
      <c r="AV70" s="3" t="s">
        <v>1040</v>
      </c>
      <c r="AW70" s="3" t="s">
        <v>1041</v>
      </c>
      <c r="AX70" s="3" t="s">
        <v>1041</v>
      </c>
      <c r="AY70" s="3" t="s">
        <v>1042</v>
      </c>
      <c r="AZ70" s="3" t="s">
        <v>73</v>
      </c>
      <c r="BB70" s="3" t="s">
        <v>1043</v>
      </c>
      <c r="BC70" s="3" t="s">
        <v>1044</v>
      </c>
      <c r="BD70" s="3" t="s">
        <v>1045</v>
      </c>
    </row>
    <row r="71" spans="1:56" ht="40.5" customHeight="1" x14ac:dyDescent="0.25">
      <c r="A71" s="8" t="s">
        <v>58</v>
      </c>
      <c r="B71" s="2" t="s">
        <v>1046</v>
      </c>
      <c r="C71" s="2" t="s">
        <v>1047</v>
      </c>
      <c r="D71" s="2" t="s">
        <v>1048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L71" s="2" t="s">
        <v>1049</v>
      </c>
      <c r="M71" s="3" t="s">
        <v>189</v>
      </c>
      <c r="O71" s="3" t="s">
        <v>64</v>
      </c>
      <c r="P71" s="3" t="s">
        <v>613</v>
      </c>
      <c r="Q71" s="2" t="s">
        <v>1050</v>
      </c>
      <c r="R71" s="3" t="s">
        <v>66</v>
      </c>
      <c r="S71" s="4">
        <v>23</v>
      </c>
      <c r="T71" s="4">
        <v>23</v>
      </c>
      <c r="U71" s="5" t="s">
        <v>1051</v>
      </c>
      <c r="V71" s="5" t="s">
        <v>1051</v>
      </c>
      <c r="W71" s="5" t="s">
        <v>1052</v>
      </c>
      <c r="X71" s="5" t="s">
        <v>1052</v>
      </c>
      <c r="Y71" s="4">
        <v>357</v>
      </c>
      <c r="Z71" s="4">
        <v>284</v>
      </c>
      <c r="AA71" s="4">
        <v>304</v>
      </c>
      <c r="AB71" s="4">
        <v>4</v>
      </c>
      <c r="AC71" s="4">
        <v>4</v>
      </c>
      <c r="AD71" s="4">
        <v>13</v>
      </c>
      <c r="AE71" s="4">
        <v>13</v>
      </c>
      <c r="AF71" s="4">
        <v>6</v>
      </c>
      <c r="AG71" s="4">
        <v>6</v>
      </c>
      <c r="AH71" s="4">
        <v>3</v>
      </c>
      <c r="AI71" s="4">
        <v>3</v>
      </c>
      <c r="AJ71" s="4">
        <v>5</v>
      </c>
      <c r="AK71" s="4">
        <v>5</v>
      </c>
      <c r="AL71" s="4">
        <v>3</v>
      </c>
      <c r="AM71" s="4">
        <v>3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HYPERLINK("https://creighton-primo.hosted.exlibrisgroup.com/primo-explore/search?tab=default_tab&amp;search_scope=EVERYTHING&amp;vid=01CRU&amp;lang=en_US&amp;offset=0&amp;query=any,contains,991001982679702656","Catalog Record")</f>
        <v>Catalog Record</v>
      </c>
      <c r="AT71" s="6" t="str">
        <f>HYPERLINK("http://www.worldcat.org/oclc/25164454","WorldCat Record")</f>
        <v>WorldCat Record</v>
      </c>
      <c r="AU71" s="3" t="s">
        <v>1053</v>
      </c>
      <c r="AV71" s="3" t="s">
        <v>1054</v>
      </c>
      <c r="AW71" s="3" t="s">
        <v>1055</v>
      </c>
      <c r="AX71" s="3" t="s">
        <v>1055</v>
      </c>
      <c r="AY71" s="3" t="s">
        <v>1056</v>
      </c>
      <c r="AZ71" s="3" t="s">
        <v>73</v>
      </c>
      <c r="BB71" s="3" t="s">
        <v>1057</v>
      </c>
      <c r="BC71" s="3" t="s">
        <v>1058</v>
      </c>
      <c r="BD71" s="3" t="s">
        <v>1059</v>
      </c>
    </row>
    <row r="72" spans="1:56" ht="40.5" customHeight="1" x14ac:dyDescent="0.25">
      <c r="A72" s="8" t="s">
        <v>58</v>
      </c>
      <c r="B72" s="2" t="s">
        <v>1060</v>
      </c>
      <c r="C72" s="2" t="s">
        <v>1061</v>
      </c>
      <c r="D72" s="2" t="s">
        <v>1062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1063</v>
      </c>
      <c r="M72" s="3" t="s">
        <v>424</v>
      </c>
      <c r="O72" s="3" t="s">
        <v>64</v>
      </c>
      <c r="P72" s="3" t="s">
        <v>144</v>
      </c>
      <c r="R72" s="3" t="s">
        <v>66</v>
      </c>
      <c r="S72" s="4">
        <v>22</v>
      </c>
      <c r="T72" s="4">
        <v>22</v>
      </c>
      <c r="U72" s="5" t="s">
        <v>1064</v>
      </c>
      <c r="V72" s="5" t="s">
        <v>1064</v>
      </c>
      <c r="W72" s="5" t="s">
        <v>1065</v>
      </c>
      <c r="X72" s="5" t="s">
        <v>1065</v>
      </c>
      <c r="Y72" s="4">
        <v>334</v>
      </c>
      <c r="Z72" s="4">
        <v>261</v>
      </c>
      <c r="AA72" s="4">
        <v>268</v>
      </c>
      <c r="AB72" s="4">
        <v>3</v>
      </c>
      <c r="AC72" s="4">
        <v>3</v>
      </c>
      <c r="AD72" s="4">
        <v>13</v>
      </c>
      <c r="AE72" s="4">
        <v>13</v>
      </c>
      <c r="AF72" s="4">
        <v>8</v>
      </c>
      <c r="AG72" s="4">
        <v>8</v>
      </c>
      <c r="AH72" s="4">
        <v>2</v>
      </c>
      <c r="AI72" s="4">
        <v>2</v>
      </c>
      <c r="AJ72" s="4">
        <v>6</v>
      </c>
      <c r="AK72" s="4">
        <v>6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115</v>
      </c>
      <c r="AR72" s="6" t="str">
        <f>HYPERLINK("http://catalog.hathitrust.org/Record/002808583","HathiTrust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HYPERLINK("https://creighton-primo.hosted.exlibrisgroup.com/primo-explore/search?tab=default_tab&amp;search_scope=EVERYTHING&amp;vid=01CRU&amp;lang=en_US&amp;offset=0&amp;query=any,contains,991002280349702656","Catalog Record")</f>
        <v>Catalog Record</v>
      </c>
      <c r="AT72" s="6" t="str">
        <f>HYPERLINK("http://www.worldcat.org/oclc/29565000","WorldCat Record")</f>
        <v>WorldCat Record</v>
      </c>
      <c r="AU72" s="3" t="s">
        <v>1066</v>
      </c>
      <c r="AV72" s="3" t="s">
        <v>1067</v>
      </c>
      <c r="AW72" s="3" t="s">
        <v>1068</v>
      </c>
      <c r="AX72" s="3" t="s">
        <v>1068</v>
      </c>
      <c r="AY72" s="3" t="s">
        <v>1069</v>
      </c>
      <c r="AZ72" s="3" t="s">
        <v>73</v>
      </c>
      <c r="BB72" s="3" t="s">
        <v>1070</v>
      </c>
      <c r="BC72" s="3" t="s">
        <v>1071</v>
      </c>
      <c r="BD72" s="3" t="s">
        <v>1072</v>
      </c>
    </row>
    <row r="73" spans="1:56" ht="40.5" customHeight="1" x14ac:dyDescent="0.25">
      <c r="A73" s="8" t="s">
        <v>58</v>
      </c>
      <c r="B73" s="2" t="s">
        <v>1073</v>
      </c>
      <c r="C73" s="2" t="s">
        <v>1074</v>
      </c>
      <c r="D73" s="2" t="s">
        <v>1075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1076</v>
      </c>
      <c r="L73" s="2" t="s">
        <v>1077</v>
      </c>
      <c r="M73" s="3" t="s">
        <v>892</v>
      </c>
      <c r="O73" s="3" t="s">
        <v>64</v>
      </c>
      <c r="P73" s="3" t="s">
        <v>291</v>
      </c>
      <c r="R73" s="3" t="s">
        <v>66</v>
      </c>
      <c r="S73" s="4">
        <v>8</v>
      </c>
      <c r="T73" s="4">
        <v>8</v>
      </c>
      <c r="U73" s="5" t="s">
        <v>1078</v>
      </c>
      <c r="V73" s="5" t="s">
        <v>1078</v>
      </c>
      <c r="W73" s="5" t="s">
        <v>1079</v>
      </c>
      <c r="X73" s="5" t="s">
        <v>1079</v>
      </c>
      <c r="Y73" s="4">
        <v>437</v>
      </c>
      <c r="Z73" s="4">
        <v>352</v>
      </c>
      <c r="AA73" s="4">
        <v>523</v>
      </c>
      <c r="AB73" s="4">
        <v>2</v>
      </c>
      <c r="AC73" s="4">
        <v>2</v>
      </c>
      <c r="AD73" s="4">
        <v>10</v>
      </c>
      <c r="AE73" s="4">
        <v>14</v>
      </c>
      <c r="AF73" s="4">
        <v>5</v>
      </c>
      <c r="AG73" s="4">
        <v>8</v>
      </c>
      <c r="AH73" s="4">
        <v>4</v>
      </c>
      <c r="AI73" s="4">
        <v>4</v>
      </c>
      <c r="AJ73" s="4">
        <v>2</v>
      </c>
      <c r="AK73" s="4">
        <v>4</v>
      </c>
      <c r="AL73" s="4">
        <v>1</v>
      </c>
      <c r="AM73" s="4">
        <v>1</v>
      </c>
      <c r="AN73" s="4">
        <v>0</v>
      </c>
      <c r="AO73" s="4">
        <v>0</v>
      </c>
      <c r="AP73" s="3" t="s">
        <v>58</v>
      </c>
      <c r="AQ73" s="3" t="s">
        <v>115</v>
      </c>
      <c r="AR73" s="6" t="str">
        <f>HYPERLINK("http://catalog.hathitrust.org/Record/004021204","HathiTrust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HYPERLINK("https://creighton-primo.hosted.exlibrisgroup.com/primo-explore/search?tab=default_tab&amp;search_scope=EVERYTHING&amp;vid=01CRU&amp;lang=en_US&amp;offset=0&amp;query=any,contains,991003353279702656","Catalog Record")</f>
        <v>Catalog Record</v>
      </c>
      <c r="AT73" s="6" t="str">
        <f>HYPERLINK("http://www.worldcat.org/oclc/37947167","WorldCat Record")</f>
        <v>WorldCat Record</v>
      </c>
      <c r="AU73" s="3" t="s">
        <v>1080</v>
      </c>
      <c r="AV73" s="3" t="s">
        <v>1081</v>
      </c>
      <c r="AW73" s="3" t="s">
        <v>1082</v>
      </c>
      <c r="AX73" s="3" t="s">
        <v>1082</v>
      </c>
      <c r="AY73" s="3" t="s">
        <v>1083</v>
      </c>
      <c r="AZ73" s="3" t="s">
        <v>73</v>
      </c>
      <c r="BB73" s="3" t="s">
        <v>1084</v>
      </c>
      <c r="BC73" s="3" t="s">
        <v>1085</v>
      </c>
      <c r="BD73" s="3" t="s">
        <v>1086</v>
      </c>
    </row>
    <row r="74" spans="1:56" ht="40.5" customHeight="1" x14ac:dyDescent="0.25">
      <c r="A74" s="8" t="s">
        <v>58</v>
      </c>
      <c r="B74" s="2" t="s">
        <v>1087</v>
      </c>
      <c r="C74" s="2" t="s">
        <v>1088</v>
      </c>
      <c r="D74" s="2" t="s">
        <v>1089</v>
      </c>
      <c r="F74" s="3" t="s">
        <v>58</v>
      </c>
      <c r="G74" s="3" t="s">
        <v>59</v>
      </c>
      <c r="H74" s="3" t="s">
        <v>115</v>
      </c>
      <c r="I74" s="3" t="s">
        <v>58</v>
      </c>
      <c r="J74" s="3" t="s">
        <v>60</v>
      </c>
      <c r="L74" s="2" t="s">
        <v>1090</v>
      </c>
      <c r="M74" s="3" t="s">
        <v>235</v>
      </c>
      <c r="N74" s="2" t="s">
        <v>1091</v>
      </c>
      <c r="O74" s="3" t="s">
        <v>64</v>
      </c>
      <c r="P74" s="3" t="s">
        <v>643</v>
      </c>
      <c r="Q74" s="2" t="s">
        <v>1092</v>
      </c>
      <c r="R74" s="3" t="s">
        <v>66</v>
      </c>
      <c r="S74" s="4">
        <v>6</v>
      </c>
      <c r="T74" s="4">
        <v>8</v>
      </c>
      <c r="U74" s="5" t="s">
        <v>1093</v>
      </c>
      <c r="V74" s="5" t="s">
        <v>1093</v>
      </c>
      <c r="W74" s="5" t="s">
        <v>1094</v>
      </c>
      <c r="X74" s="5" t="s">
        <v>1094</v>
      </c>
      <c r="Y74" s="4">
        <v>312</v>
      </c>
      <c r="Z74" s="4">
        <v>250</v>
      </c>
      <c r="AA74" s="4">
        <v>527</v>
      </c>
      <c r="AB74" s="4">
        <v>4</v>
      </c>
      <c r="AC74" s="4">
        <v>9</v>
      </c>
      <c r="AD74" s="4">
        <v>9</v>
      </c>
      <c r="AE74" s="4">
        <v>17</v>
      </c>
      <c r="AF74" s="4">
        <v>5</v>
      </c>
      <c r="AG74" s="4">
        <v>6</v>
      </c>
      <c r="AH74" s="4">
        <v>2</v>
      </c>
      <c r="AI74" s="4">
        <v>4</v>
      </c>
      <c r="AJ74" s="4">
        <v>6</v>
      </c>
      <c r="AK74" s="4">
        <v>6</v>
      </c>
      <c r="AL74" s="4">
        <v>1</v>
      </c>
      <c r="AM74" s="4">
        <v>6</v>
      </c>
      <c r="AN74" s="4">
        <v>0</v>
      </c>
      <c r="AO74" s="4">
        <v>0</v>
      </c>
      <c r="AP74" s="3" t="s">
        <v>58</v>
      </c>
      <c r="AQ74" s="3" t="s">
        <v>115</v>
      </c>
      <c r="AR74" s="6" t="str">
        <f>HYPERLINK("http://catalog.hathitrust.org/Record/000294714","HathiTrust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HYPERLINK("https://creighton-primo.hosted.exlibrisgroup.com/primo-explore/search?tab=default_tab&amp;search_scope=EVERYTHING&amp;vid=01CRU&amp;lang=en_US&amp;offset=0&amp;query=any,contains,991001779839702656","Catalog Record")</f>
        <v>Catalog Record</v>
      </c>
      <c r="AT74" s="6" t="str">
        <f>HYPERLINK("http://www.worldcat.org/oclc/3203260","WorldCat Record")</f>
        <v>WorldCat Record</v>
      </c>
      <c r="AU74" s="3" t="s">
        <v>1095</v>
      </c>
      <c r="AV74" s="3" t="s">
        <v>1096</v>
      </c>
      <c r="AW74" s="3" t="s">
        <v>1097</v>
      </c>
      <c r="AX74" s="3" t="s">
        <v>1097</v>
      </c>
      <c r="AY74" s="3" t="s">
        <v>1098</v>
      </c>
      <c r="AZ74" s="3" t="s">
        <v>73</v>
      </c>
      <c r="BB74" s="3" t="s">
        <v>1099</v>
      </c>
      <c r="BC74" s="3" t="s">
        <v>1100</v>
      </c>
      <c r="BD74" s="3" t="s">
        <v>1101</v>
      </c>
    </row>
    <row r="75" spans="1:56" ht="40.5" customHeight="1" x14ac:dyDescent="0.25">
      <c r="A75" s="8" t="s">
        <v>58</v>
      </c>
      <c r="B75" s="2" t="s">
        <v>1102</v>
      </c>
      <c r="C75" s="2" t="s">
        <v>1103</v>
      </c>
      <c r="D75" s="2" t="s">
        <v>1104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1105</v>
      </c>
      <c r="L75" s="2" t="s">
        <v>1106</v>
      </c>
      <c r="M75" s="3" t="s">
        <v>1023</v>
      </c>
      <c r="N75" s="2" t="s">
        <v>1107</v>
      </c>
      <c r="O75" s="3" t="s">
        <v>64</v>
      </c>
      <c r="P75" s="3" t="s">
        <v>65</v>
      </c>
      <c r="R75" s="3" t="s">
        <v>66</v>
      </c>
      <c r="S75" s="4">
        <v>4</v>
      </c>
      <c r="T75" s="4">
        <v>4</v>
      </c>
      <c r="U75" s="5" t="s">
        <v>1108</v>
      </c>
      <c r="V75" s="5" t="s">
        <v>1108</v>
      </c>
      <c r="W75" s="5" t="s">
        <v>1109</v>
      </c>
      <c r="X75" s="5" t="s">
        <v>1109</v>
      </c>
      <c r="Y75" s="4">
        <v>358</v>
      </c>
      <c r="Z75" s="4">
        <v>347</v>
      </c>
      <c r="AA75" s="4">
        <v>355</v>
      </c>
      <c r="AB75" s="4">
        <v>4</v>
      </c>
      <c r="AC75" s="4">
        <v>4</v>
      </c>
      <c r="AD75" s="4">
        <v>3</v>
      </c>
      <c r="AE75" s="4">
        <v>3</v>
      </c>
      <c r="AF75" s="4">
        <v>0</v>
      </c>
      <c r="AG75" s="4">
        <v>0</v>
      </c>
      <c r="AH75" s="4">
        <v>2</v>
      </c>
      <c r="AI75" s="4">
        <v>2</v>
      </c>
      <c r="AJ75" s="4">
        <v>1</v>
      </c>
      <c r="AK75" s="4">
        <v>1</v>
      </c>
      <c r="AL75" s="4">
        <v>1</v>
      </c>
      <c r="AM75" s="4">
        <v>1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HYPERLINK("https://creighton-primo.hosted.exlibrisgroup.com/primo-explore/search?tab=default_tab&amp;search_scope=EVERYTHING&amp;vid=01CRU&amp;lang=en_US&amp;offset=0&amp;query=any,contains,991005220179702656","Catalog Record")</f>
        <v>Catalog Record</v>
      </c>
      <c r="AT75" s="6" t="str">
        <f>HYPERLINK("http://www.worldcat.org/oclc/173275302","WorldCat Record")</f>
        <v>WorldCat Record</v>
      </c>
      <c r="AU75" s="3" t="s">
        <v>1110</v>
      </c>
      <c r="AV75" s="3" t="s">
        <v>1111</v>
      </c>
      <c r="AW75" s="3" t="s">
        <v>1112</v>
      </c>
      <c r="AX75" s="3" t="s">
        <v>1112</v>
      </c>
      <c r="AY75" s="3" t="s">
        <v>1113</v>
      </c>
      <c r="AZ75" s="3" t="s">
        <v>73</v>
      </c>
      <c r="BB75" s="3" t="s">
        <v>1114</v>
      </c>
      <c r="BC75" s="3" t="s">
        <v>1115</v>
      </c>
      <c r="BD75" s="3" t="s">
        <v>1116</v>
      </c>
    </row>
    <row r="76" spans="1:56" ht="40.5" customHeight="1" x14ac:dyDescent="0.25">
      <c r="A76" s="8" t="s">
        <v>58</v>
      </c>
      <c r="B76" s="2" t="s">
        <v>1117</v>
      </c>
      <c r="C76" s="2" t="s">
        <v>1118</v>
      </c>
      <c r="D76" s="2" t="s">
        <v>1119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1120</v>
      </c>
      <c r="L76" s="2" t="s">
        <v>1121</v>
      </c>
      <c r="M76" s="3" t="s">
        <v>1122</v>
      </c>
      <c r="N76" s="2" t="s">
        <v>143</v>
      </c>
      <c r="O76" s="3" t="s">
        <v>64</v>
      </c>
      <c r="P76" s="3" t="s">
        <v>144</v>
      </c>
      <c r="R76" s="3" t="s">
        <v>66</v>
      </c>
      <c r="S76" s="4">
        <v>13</v>
      </c>
      <c r="T76" s="4">
        <v>13</v>
      </c>
      <c r="U76" s="5" t="s">
        <v>1123</v>
      </c>
      <c r="V76" s="5" t="s">
        <v>1123</v>
      </c>
      <c r="W76" s="5" t="s">
        <v>1124</v>
      </c>
      <c r="X76" s="5" t="s">
        <v>1124</v>
      </c>
      <c r="Y76" s="4">
        <v>395</v>
      </c>
      <c r="Z76" s="4">
        <v>320</v>
      </c>
      <c r="AA76" s="4">
        <v>501</v>
      </c>
      <c r="AB76" s="4">
        <v>2</v>
      </c>
      <c r="AC76" s="4">
        <v>3</v>
      </c>
      <c r="AD76" s="4">
        <v>11</v>
      </c>
      <c r="AE76" s="4">
        <v>15</v>
      </c>
      <c r="AF76" s="4">
        <v>4</v>
      </c>
      <c r="AG76" s="4">
        <v>7</v>
      </c>
      <c r="AH76" s="4">
        <v>3</v>
      </c>
      <c r="AI76" s="4">
        <v>3</v>
      </c>
      <c r="AJ76" s="4">
        <v>5</v>
      </c>
      <c r="AK76" s="4">
        <v>5</v>
      </c>
      <c r="AL76" s="4">
        <v>1</v>
      </c>
      <c r="AM76" s="4">
        <v>2</v>
      </c>
      <c r="AN76" s="4">
        <v>0</v>
      </c>
      <c r="AO76" s="4">
        <v>0</v>
      </c>
      <c r="AP76" s="3" t="s">
        <v>58</v>
      </c>
      <c r="AQ76" s="3" t="s">
        <v>115</v>
      </c>
      <c r="AR76" s="6" t="str">
        <f>HYPERLINK("http://catalog.hathitrust.org/Record/001944867","HathiTrust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HYPERLINK("https://creighton-primo.hosted.exlibrisgroup.com/primo-explore/search?tab=default_tab&amp;search_scope=EVERYTHING&amp;vid=01CRU&amp;lang=en_US&amp;offset=0&amp;query=any,contains,991001537539702656","Catalog Record")</f>
        <v>Catalog Record</v>
      </c>
      <c r="AT76" s="6" t="str">
        <f>HYPERLINK("http://www.worldcat.org/oclc/20092898","WorldCat Record")</f>
        <v>WorldCat Record</v>
      </c>
      <c r="AU76" s="3" t="s">
        <v>1125</v>
      </c>
      <c r="AV76" s="3" t="s">
        <v>1126</v>
      </c>
      <c r="AW76" s="3" t="s">
        <v>1127</v>
      </c>
      <c r="AX76" s="3" t="s">
        <v>1127</v>
      </c>
      <c r="AY76" s="3" t="s">
        <v>1128</v>
      </c>
      <c r="AZ76" s="3" t="s">
        <v>73</v>
      </c>
      <c r="BB76" s="3" t="s">
        <v>1129</v>
      </c>
      <c r="BC76" s="3" t="s">
        <v>1130</v>
      </c>
      <c r="BD76" s="3" t="s">
        <v>1131</v>
      </c>
    </row>
    <row r="77" spans="1:56" ht="40.5" customHeight="1" x14ac:dyDescent="0.25">
      <c r="A77" s="8" t="s">
        <v>58</v>
      </c>
      <c r="B77" s="2" t="s">
        <v>1132</v>
      </c>
      <c r="C77" s="2" t="s">
        <v>1133</v>
      </c>
      <c r="D77" s="2" t="s">
        <v>1134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L77" s="2" t="s">
        <v>1135</v>
      </c>
      <c r="M77" s="3" t="s">
        <v>95</v>
      </c>
      <c r="O77" s="3" t="s">
        <v>64</v>
      </c>
      <c r="P77" s="3" t="s">
        <v>291</v>
      </c>
      <c r="R77" s="3" t="s">
        <v>66</v>
      </c>
      <c r="S77" s="4">
        <v>2</v>
      </c>
      <c r="T77" s="4">
        <v>2</v>
      </c>
      <c r="U77" s="5" t="s">
        <v>1136</v>
      </c>
      <c r="V77" s="5" t="s">
        <v>1136</v>
      </c>
      <c r="W77" s="5" t="s">
        <v>1136</v>
      </c>
      <c r="X77" s="5" t="s">
        <v>1136</v>
      </c>
      <c r="Y77" s="4">
        <v>331</v>
      </c>
      <c r="Z77" s="4">
        <v>245</v>
      </c>
      <c r="AA77" s="4">
        <v>251</v>
      </c>
      <c r="AB77" s="4">
        <v>4</v>
      </c>
      <c r="AC77" s="4">
        <v>4</v>
      </c>
      <c r="AD77" s="4">
        <v>11</v>
      </c>
      <c r="AE77" s="4">
        <v>11</v>
      </c>
      <c r="AF77" s="4">
        <v>6</v>
      </c>
      <c r="AG77" s="4">
        <v>6</v>
      </c>
      <c r="AH77" s="4">
        <v>2</v>
      </c>
      <c r="AI77" s="4">
        <v>2</v>
      </c>
      <c r="AJ77" s="4">
        <v>4</v>
      </c>
      <c r="AK77" s="4">
        <v>4</v>
      </c>
      <c r="AL77" s="4">
        <v>3</v>
      </c>
      <c r="AM77" s="4">
        <v>3</v>
      </c>
      <c r="AN77" s="4">
        <v>0</v>
      </c>
      <c r="AO77" s="4">
        <v>0</v>
      </c>
      <c r="AP77" s="3" t="s">
        <v>58</v>
      </c>
      <c r="AQ77" s="3" t="s">
        <v>115</v>
      </c>
      <c r="AR77" s="6" t="str">
        <f>HYPERLINK("http://catalog.hathitrust.org/Record/004244866","HathiTrust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HYPERLINK("https://creighton-primo.hosted.exlibrisgroup.com/primo-explore/search?tab=default_tab&amp;search_scope=EVERYTHING&amp;vid=01CRU&amp;lang=en_US&amp;offset=0&amp;query=any,contains,991003692689702656","Catalog Record")</f>
        <v>Catalog Record</v>
      </c>
      <c r="AT77" s="6" t="str">
        <f>HYPERLINK("http://www.worldcat.org/oclc/46660577","WorldCat Record")</f>
        <v>WorldCat Record</v>
      </c>
      <c r="AU77" s="3" t="s">
        <v>1137</v>
      </c>
      <c r="AV77" s="3" t="s">
        <v>1138</v>
      </c>
      <c r="AW77" s="3" t="s">
        <v>1139</v>
      </c>
      <c r="AX77" s="3" t="s">
        <v>1139</v>
      </c>
      <c r="AY77" s="3" t="s">
        <v>1140</v>
      </c>
      <c r="AZ77" s="3" t="s">
        <v>73</v>
      </c>
      <c r="BB77" s="3" t="s">
        <v>1141</v>
      </c>
      <c r="BC77" s="3" t="s">
        <v>1142</v>
      </c>
      <c r="BD77" s="3" t="s">
        <v>1143</v>
      </c>
    </row>
    <row r="78" spans="1:56" ht="40.5" customHeight="1" x14ac:dyDescent="0.25">
      <c r="A78" s="8" t="s">
        <v>58</v>
      </c>
      <c r="B78" s="2" t="s">
        <v>1144</v>
      </c>
      <c r="C78" s="2" t="s">
        <v>1145</v>
      </c>
      <c r="D78" s="2" t="s">
        <v>1146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1147</v>
      </c>
      <c r="L78" s="2" t="s">
        <v>1148</v>
      </c>
      <c r="M78" s="3" t="s">
        <v>424</v>
      </c>
      <c r="O78" s="3" t="s">
        <v>64</v>
      </c>
      <c r="P78" s="3" t="s">
        <v>1149</v>
      </c>
      <c r="R78" s="3" t="s">
        <v>66</v>
      </c>
      <c r="S78" s="4">
        <v>18</v>
      </c>
      <c r="T78" s="4">
        <v>18</v>
      </c>
      <c r="U78" s="5" t="s">
        <v>1150</v>
      </c>
      <c r="V78" s="5" t="s">
        <v>1150</v>
      </c>
      <c r="W78" s="5" t="s">
        <v>1151</v>
      </c>
      <c r="X78" s="5" t="s">
        <v>1151</v>
      </c>
      <c r="Y78" s="4">
        <v>201</v>
      </c>
      <c r="Z78" s="4">
        <v>144</v>
      </c>
      <c r="AA78" s="4">
        <v>145</v>
      </c>
      <c r="AB78" s="4">
        <v>4</v>
      </c>
      <c r="AC78" s="4">
        <v>4</v>
      </c>
      <c r="AD78" s="4">
        <v>7</v>
      </c>
      <c r="AE78" s="4">
        <v>7</v>
      </c>
      <c r="AF78" s="4">
        <v>3</v>
      </c>
      <c r="AG78" s="4">
        <v>3</v>
      </c>
      <c r="AH78" s="4">
        <v>0</v>
      </c>
      <c r="AI78" s="4">
        <v>0</v>
      </c>
      <c r="AJ78" s="4">
        <v>3</v>
      </c>
      <c r="AK78" s="4">
        <v>3</v>
      </c>
      <c r="AL78" s="4">
        <v>3</v>
      </c>
      <c r="AM78" s="4">
        <v>3</v>
      </c>
      <c r="AN78" s="4">
        <v>0</v>
      </c>
      <c r="AO78" s="4">
        <v>0</v>
      </c>
      <c r="AP78" s="3" t="s">
        <v>58</v>
      </c>
      <c r="AQ78" s="3" t="s">
        <v>115</v>
      </c>
      <c r="AR78" s="6" t="str">
        <f>HYPERLINK("http://catalog.hathitrust.org/Record/101973305","HathiTrust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HYPERLINK("https://creighton-primo.hosted.exlibrisgroup.com/primo-explore/search?tab=default_tab&amp;search_scope=EVERYTHING&amp;vid=01CRU&amp;lang=en_US&amp;offset=0&amp;query=any,contains,991002290259702656","Catalog Record")</f>
        <v>Catalog Record</v>
      </c>
      <c r="AT78" s="6" t="str">
        <f>HYPERLINK("http://www.worldcat.org/oclc/29676604","WorldCat Record")</f>
        <v>WorldCat Record</v>
      </c>
      <c r="AU78" s="3" t="s">
        <v>1152</v>
      </c>
      <c r="AV78" s="3" t="s">
        <v>1153</v>
      </c>
      <c r="AW78" s="3" t="s">
        <v>1154</v>
      </c>
      <c r="AX78" s="3" t="s">
        <v>1154</v>
      </c>
      <c r="AY78" s="3" t="s">
        <v>1155</v>
      </c>
      <c r="AZ78" s="3" t="s">
        <v>73</v>
      </c>
      <c r="BB78" s="3" t="s">
        <v>1156</v>
      </c>
      <c r="BC78" s="3" t="s">
        <v>1157</v>
      </c>
      <c r="BD78" s="3" t="s">
        <v>1158</v>
      </c>
    </row>
    <row r="79" spans="1:56" ht="40.5" customHeight="1" x14ac:dyDescent="0.25">
      <c r="A79" s="8" t="s">
        <v>58</v>
      </c>
      <c r="B79" s="2" t="s">
        <v>1159</v>
      </c>
      <c r="C79" s="2" t="s">
        <v>1160</v>
      </c>
      <c r="D79" s="2" t="s">
        <v>1161</v>
      </c>
      <c r="F79" s="3" t="s">
        <v>58</v>
      </c>
      <c r="G79" s="3" t="s">
        <v>59</v>
      </c>
      <c r="H79" s="3" t="s">
        <v>58</v>
      </c>
      <c r="I79" s="3" t="s">
        <v>115</v>
      </c>
      <c r="J79" s="3" t="s">
        <v>60</v>
      </c>
      <c r="K79" s="2" t="s">
        <v>1162</v>
      </c>
      <c r="L79" s="2" t="s">
        <v>1163</v>
      </c>
      <c r="M79" s="3" t="s">
        <v>173</v>
      </c>
      <c r="O79" s="3" t="s">
        <v>64</v>
      </c>
      <c r="P79" s="3" t="s">
        <v>112</v>
      </c>
      <c r="R79" s="3" t="s">
        <v>66</v>
      </c>
      <c r="S79" s="4">
        <v>7</v>
      </c>
      <c r="T79" s="4">
        <v>7</v>
      </c>
      <c r="U79" s="5" t="s">
        <v>1164</v>
      </c>
      <c r="V79" s="5" t="s">
        <v>1164</v>
      </c>
      <c r="W79" s="5" t="s">
        <v>1165</v>
      </c>
      <c r="X79" s="5" t="s">
        <v>1165</v>
      </c>
      <c r="Y79" s="4">
        <v>123</v>
      </c>
      <c r="Z79" s="4">
        <v>102</v>
      </c>
      <c r="AA79" s="4">
        <v>201</v>
      </c>
      <c r="AB79" s="4">
        <v>1</v>
      </c>
      <c r="AC79" s="4">
        <v>2</v>
      </c>
      <c r="AD79" s="4">
        <v>3</v>
      </c>
      <c r="AE79" s="4">
        <v>8</v>
      </c>
      <c r="AF79" s="4">
        <v>2</v>
      </c>
      <c r="AG79" s="4">
        <v>4</v>
      </c>
      <c r="AH79" s="4">
        <v>0</v>
      </c>
      <c r="AI79" s="4">
        <v>2</v>
      </c>
      <c r="AJ79" s="4">
        <v>1</v>
      </c>
      <c r="AK79" s="4">
        <v>5</v>
      </c>
      <c r="AL79" s="4">
        <v>0</v>
      </c>
      <c r="AM79" s="4">
        <v>0</v>
      </c>
      <c r="AN79" s="4">
        <v>0</v>
      </c>
      <c r="AO79" s="4">
        <v>0</v>
      </c>
      <c r="AP79" s="3" t="s">
        <v>58</v>
      </c>
      <c r="AQ79" s="3" t="s">
        <v>115</v>
      </c>
      <c r="AR79" s="6" t="str">
        <f>HYPERLINK("http://catalog.hathitrust.org/Record/002964739","HathiTrust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HYPERLINK("https://creighton-primo.hosted.exlibrisgroup.com/primo-explore/search?tab=default_tab&amp;search_scope=EVERYTHING&amp;vid=01CRU&amp;lang=en_US&amp;offset=0&amp;query=any,contains,991002344379702656","Catalog Record")</f>
        <v>Catalog Record</v>
      </c>
      <c r="AT79" s="6" t="str">
        <f>HYPERLINK("http://www.worldcat.org/oclc/30518282","WorldCat Record")</f>
        <v>WorldCat Record</v>
      </c>
      <c r="AU79" s="3" t="s">
        <v>1166</v>
      </c>
      <c r="AV79" s="3" t="s">
        <v>1167</v>
      </c>
      <c r="AW79" s="3" t="s">
        <v>1168</v>
      </c>
      <c r="AX79" s="3" t="s">
        <v>1168</v>
      </c>
      <c r="AY79" s="3" t="s">
        <v>1169</v>
      </c>
      <c r="AZ79" s="3" t="s">
        <v>73</v>
      </c>
      <c r="BB79" s="3" t="s">
        <v>1170</v>
      </c>
      <c r="BC79" s="3" t="s">
        <v>1171</v>
      </c>
      <c r="BD79" s="3" t="s">
        <v>1172</v>
      </c>
    </row>
    <row r="80" spans="1:56" ht="40.5" customHeight="1" x14ac:dyDescent="0.25">
      <c r="A80" s="8" t="s">
        <v>58</v>
      </c>
      <c r="B80" s="2" t="s">
        <v>1173</v>
      </c>
      <c r="C80" s="2" t="s">
        <v>1174</v>
      </c>
      <c r="D80" s="2" t="s">
        <v>1175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1176</v>
      </c>
      <c r="M80" s="3" t="s">
        <v>1177</v>
      </c>
      <c r="O80" s="3" t="s">
        <v>64</v>
      </c>
      <c r="P80" s="3" t="s">
        <v>291</v>
      </c>
      <c r="R80" s="3" t="s">
        <v>66</v>
      </c>
      <c r="S80" s="4">
        <v>5</v>
      </c>
      <c r="T80" s="4">
        <v>5</v>
      </c>
      <c r="U80" s="5" t="s">
        <v>1178</v>
      </c>
      <c r="V80" s="5" t="s">
        <v>1178</v>
      </c>
      <c r="W80" s="5" t="s">
        <v>396</v>
      </c>
      <c r="X80" s="5" t="s">
        <v>396</v>
      </c>
      <c r="Y80" s="4">
        <v>255</v>
      </c>
      <c r="Z80" s="4">
        <v>210</v>
      </c>
      <c r="AA80" s="4">
        <v>211</v>
      </c>
      <c r="AB80" s="4">
        <v>4</v>
      </c>
      <c r="AC80" s="4">
        <v>4</v>
      </c>
      <c r="AD80" s="4">
        <v>6</v>
      </c>
      <c r="AE80" s="4">
        <v>6</v>
      </c>
      <c r="AF80" s="4">
        <v>3</v>
      </c>
      <c r="AG80" s="4">
        <v>3</v>
      </c>
      <c r="AH80" s="4">
        <v>0</v>
      </c>
      <c r="AI80" s="4">
        <v>0</v>
      </c>
      <c r="AJ80" s="4">
        <v>0</v>
      </c>
      <c r="AK80" s="4">
        <v>0</v>
      </c>
      <c r="AL80" s="4">
        <v>3</v>
      </c>
      <c r="AM80" s="4">
        <v>3</v>
      </c>
      <c r="AN80" s="4">
        <v>0</v>
      </c>
      <c r="AO80" s="4">
        <v>0</v>
      </c>
      <c r="AP80" s="3" t="s">
        <v>58</v>
      </c>
      <c r="AQ80" s="3" t="s">
        <v>115</v>
      </c>
      <c r="AR80" s="6" t="str">
        <f>HYPERLINK("http://catalog.hathitrust.org/Record/101877530","HathiTrust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HYPERLINK("https://creighton-primo.hosted.exlibrisgroup.com/primo-explore/search?tab=default_tab&amp;search_scope=EVERYTHING&amp;vid=01CRU&amp;lang=en_US&amp;offset=0&amp;query=any,contains,991000971549702656","Catalog Record")</f>
        <v>Catalog Record</v>
      </c>
      <c r="AT80" s="6" t="str">
        <f>HYPERLINK("http://www.worldcat.org/oclc/14964443","WorldCat Record")</f>
        <v>WorldCat Record</v>
      </c>
      <c r="AU80" s="3" t="s">
        <v>1179</v>
      </c>
      <c r="AV80" s="3" t="s">
        <v>1180</v>
      </c>
      <c r="AW80" s="3" t="s">
        <v>1181</v>
      </c>
      <c r="AX80" s="3" t="s">
        <v>1181</v>
      </c>
      <c r="AY80" s="3" t="s">
        <v>1182</v>
      </c>
      <c r="AZ80" s="3" t="s">
        <v>73</v>
      </c>
      <c r="BB80" s="3" t="s">
        <v>1183</v>
      </c>
      <c r="BC80" s="3" t="s">
        <v>1184</v>
      </c>
      <c r="BD80" s="3" t="s">
        <v>1185</v>
      </c>
    </row>
    <row r="81" spans="1:56" ht="40.5" customHeight="1" x14ac:dyDescent="0.25">
      <c r="A81" s="8" t="s">
        <v>58</v>
      </c>
      <c r="B81" s="2" t="s">
        <v>1186</v>
      </c>
      <c r="C81" s="2" t="s">
        <v>1187</v>
      </c>
      <c r="D81" s="2" t="s">
        <v>1188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1189</v>
      </c>
      <c r="L81" s="2" t="s">
        <v>1190</v>
      </c>
      <c r="M81" s="3" t="s">
        <v>380</v>
      </c>
      <c r="O81" s="3" t="s">
        <v>64</v>
      </c>
      <c r="P81" s="3" t="s">
        <v>291</v>
      </c>
      <c r="R81" s="3" t="s">
        <v>66</v>
      </c>
      <c r="S81" s="4">
        <v>1</v>
      </c>
      <c r="T81" s="4">
        <v>1</v>
      </c>
      <c r="U81" s="5" t="s">
        <v>1164</v>
      </c>
      <c r="V81" s="5" t="s">
        <v>1164</v>
      </c>
      <c r="W81" s="5" t="s">
        <v>1191</v>
      </c>
      <c r="X81" s="5" t="s">
        <v>1191</v>
      </c>
      <c r="Y81" s="4">
        <v>513</v>
      </c>
      <c r="Z81" s="4">
        <v>404</v>
      </c>
      <c r="AA81" s="4">
        <v>410</v>
      </c>
      <c r="AB81" s="4">
        <v>5</v>
      </c>
      <c r="AC81" s="4">
        <v>5</v>
      </c>
      <c r="AD81" s="4">
        <v>15</v>
      </c>
      <c r="AE81" s="4">
        <v>15</v>
      </c>
      <c r="AF81" s="4">
        <v>7</v>
      </c>
      <c r="AG81" s="4">
        <v>7</v>
      </c>
      <c r="AH81" s="4">
        <v>3</v>
      </c>
      <c r="AI81" s="4">
        <v>3</v>
      </c>
      <c r="AJ81" s="4">
        <v>4</v>
      </c>
      <c r="AK81" s="4">
        <v>4</v>
      </c>
      <c r="AL81" s="4">
        <v>4</v>
      </c>
      <c r="AM81" s="4">
        <v>4</v>
      </c>
      <c r="AN81" s="4">
        <v>0</v>
      </c>
      <c r="AO81" s="4">
        <v>0</v>
      </c>
      <c r="AP81" s="3" t="s">
        <v>58</v>
      </c>
      <c r="AQ81" s="3" t="s">
        <v>115</v>
      </c>
      <c r="AR81" s="6" t="str">
        <f>HYPERLINK("http://catalog.hathitrust.org/Record/002737977","HathiTrust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HYPERLINK("https://creighton-primo.hosted.exlibrisgroup.com/primo-explore/search?tab=default_tab&amp;search_scope=EVERYTHING&amp;vid=01CRU&amp;lang=en_US&amp;offset=0&amp;query=any,contains,991002099299702656","Catalog Record")</f>
        <v>Catalog Record</v>
      </c>
      <c r="AT81" s="6" t="str">
        <f>HYPERLINK("http://www.worldcat.org/oclc/26933001","WorldCat Record")</f>
        <v>WorldCat Record</v>
      </c>
      <c r="AU81" s="3" t="s">
        <v>1192</v>
      </c>
      <c r="AV81" s="3" t="s">
        <v>1193</v>
      </c>
      <c r="AW81" s="3" t="s">
        <v>1194</v>
      </c>
      <c r="AX81" s="3" t="s">
        <v>1194</v>
      </c>
      <c r="AY81" s="3" t="s">
        <v>1195</v>
      </c>
      <c r="AZ81" s="3" t="s">
        <v>73</v>
      </c>
      <c r="BB81" s="3" t="s">
        <v>1196</v>
      </c>
      <c r="BC81" s="3" t="s">
        <v>1197</v>
      </c>
      <c r="BD81" s="3" t="s">
        <v>1198</v>
      </c>
    </row>
    <row r="82" spans="1:56" ht="40.5" customHeight="1" x14ac:dyDescent="0.25">
      <c r="A82" s="8" t="s">
        <v>58</v>
      </c>
      <c r="B82" s="2" t="s">
        <v>1199</v>
      </c>
      <c r="C82" s="2" t="s">
        <v>1200</v>
      </c>
      <c r="D82" s="2" t="s">
        <v>1201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1202</v>
      </c>
      <c r="L82" s="2" t="s">
        <v>1203</v>
      </c>
      <c r="M82" s="3" t="s">
        <v>1122</v>
      </c>
      <c r="O82" s="3" t="s">
        <v>64</v>
      </c>
      <c r="P82" s="3" t="s">
        <v>65</v>
      </c>
      <c r="R82" s="3" t="s">
        <v>66</v>
      </c>
      <c r="S82" s="4">
        <v>12</v>
      </c>
      <c r="T82" s="4">
        <v>12</v>
      </c>
      <c r="U82" s="5" t="s">
        <v>1204</v>
      </c>
      <c r="V82" s="5" t="s">
        <v>1204</v>
      </c>
      <c r="W82" s="5" t="s">
        <v>1205</v>
      </c>
      <c r="X82" s="5" t="s">
        <v>1205</v>
      </c>
      <c r="Y82" s="4">
        <v>762</v>
      </c>
      <c r="Z82" s="4">
        <v>712</v>
      </c>
      <c r="AA82" s="4">
        <v>745</v>
      </c>
      <c r="AB82" s="4">
        <v>8</v>
      </c>
      <c r="AC82" s="4">
        <v>9</v>
      </c>
      <c r="AD82" s="4">
        <v>9</v>
      </c>
      <c r="AE82" s="4">
        <v>10</v>
      </c>
      <c r="AF82" s="4">
        <v>3</v>
      </c>
      <c r="AG82" s="4">
        <v>3</v>
      </c>
      <c r="AH82" s="4">
        <v>1</v>
      </c>
      <c r="AI82" s="4">
        <v>1</v>
      </c>
      <c r="AJ82" s="4">
        <v>2</v>
      </c>
      <c r="AK82" s="4">
        <v>2</v>
      </c>
      <c r="AL82" s="4">
        <v>4</v>
      </c>
      <c r="AM82" s="4">
        <v>5</v>
      </c>
      <c r="AN82" s="4">
        <v>0</v>
      </c>
      <c r="AO82" s="4">
        <v>0</v>
      </c>
      <c r="AP82" s="3" t="s">
        <v>58</v>
      </c>
      <c r="AQ82" s="3" t="s">
        <v>115</v>
      </c>
      <c r="AR82" s="6" t="str">
        <f>HYPERLINK("http://catalog.hathitrust.org/Record/002181356","HathiTrust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HYPERLINK("https://creighton-primo.hosted.exlibrisgroup.com/primo-explore/search?tab=default_tab&amp;search_scope=EVERYTHING&amp;vid=01CRU&amp;lang=en_US&amp;offset=0&amp;query=any,contains,991001638469702656","Catalog Record")</f>
        <v>Catalog Record</v>
      </c>
      <c r="AT82" s="6" t="str">
        <f>HYPERLINK("http://www.worldcat.org/oclc/20994184","WorldCat Record")</f>
        <v>WorldCat Record</v>
      </c>
      <c r="AU82" s="3" t="s">
        <v>1206</v>
      </c>
      <c r="AV82" s="3" t="s">
        <v>1207</v>
      </c>
      <c r="AW82" s="3" t="s">
        <v>1208</v>
      </c>
      <c r="AX82" s="3" t="s">
        <v>1208</v>
      </c>
      <c r="AY82" s="3" t="s">
        <v>1209</v>
      </c>
      <c r="AZ82" s="3" t="s">
        <v>73</v>
      </c>
      <c r="BC82" s="3" t="s">
        <v>1210</v>
      </c>
      <c r="BD82" s="3" t="s">
        <v>1211</v>
      </c>
    </row>
    <row r="83" spans="1:56" ht="40.5" customHeight="1" x14ac:dyDescent="0.25">
      <c r="A83" s="8" t="s">
        <v>58</v>
      </c>
      <c r="B83" s="2" t="s">
        <v>1212</v>
      </c>
      <c r="C83" s="2" t="s">
        <v>1213</v>
      </c>
      <c r="D83" s="2" t="s">
        <v>1214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L83" s="2" t="s">
        <v>1215</v>
      </c>
      <c r="M83" s="3" t="s">
        <v>572</v>
      </c>
      <c r="O83" s="3" t="s">
        <v>64</v>
      </c>
      <c r="P83" s="3" t="s">
        <v>96</v>
      </c>
      <c r="R83" s="3" t="s">
        <v>66</v>
      </c>
      <c r="S83" s="4">
        <v>9</v>
      </c>
      <c r="T83" s="4">
        <v>9</v>
      </c>
      <c r="U83" s="5" t="s">
        <v>1216</v>
      </c>
      <c r="V83" s="5" t="s">
        <v>1216</v>
      </c>
      <c r="W83" s="5" t="s">
        <v>1217</v>
      </c>
      <c r="X83" s="5" t="s">
        <v>1217</v>
      </c>
      <c r="Y83" s="4">
        <v>142</v>
      </c>
      <c r="Z83" s="4">
        <v>109</v>
      </c>
      <c r="AA83" s="4">
        <v>130</v>
      </c>
      <c r="AB83" s="4">
        <v>3</v>
      </c>
      <c r="AC83" s="4">
        <v>3</v>
      </c>
      <c r="AD83" s="4">
        <v>6</v>
      </c>
      <c r="AE83" s="4">
        <v>7</v>
      </c>
      <c r="AF83" s="4">
        <v>3</v>
      </c>
      <c r="AG83" s="4">
        <v>4</v>
      </c>
      <c r="AH83" s="4">
        <v>1</v>
      </c>
      <c r="AI83" s="4">
        <v>1</v>
      </c>
      <c r="AJ83" s="4">
        <v>2</v>
      </c>
      <c r="AK83" s="4">
        <v>2</v>
      </c>
      <c r="AL83" s="4">
        <v>2</v>
      </c>
      <c r="AM83" s="4">
        <v>2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HYPERLINK("https://creighton-primo.hosted.exlibrisgroup.com/primo-explore/search?tab=default_tab&amp;search_scope=EVERYTHING&amp;vid=01CRU&amp;lang=en_US&amp;offset=0&amp;query=any,contains,991004389379702656","Catalog Record")</f>
        <v>Catalog Record</v>
      </c>
      <c r="AT83" s="6" t="str">
        <f>HYPERLINK("http://www.worldcat.org/oclc/50003266","WorldCat Record")</f>
        <v>WorldCat Record</v>
      </c>
      <c r="AU83" s="3" t="s">
        <v>1218</v>
      </c>
      <c r="AV83" s="3" t="s">
        <v>1219</v>
      </c>
      <c r="AW83" s="3" t="s">
        <v>1220</v>
      </c>
      <c r="AX83" s="3" t="s">
        <v>1220</v>
      </c>
      <c r="AY83" s="3" t="s">
        <v>1221</v>
      </c>
      <c r="AZ83" s="3" t="s">
        <v>73</v>
      </c>
      <c r="BB83" s="3" t="s">
        <v>1222</v>
      </c>
      <c r="BC83" s="3" t="s">
        <v>1223</v>
      </c>
      <c r="BD83" s="3" t="s">
        <v>1224</v>
      </c>
    </row>
    <row r="84" spans="1:56" ht="40.5" customHeight="1" x14ac:dyDescent="0.25">
      <c r="A84" s="8" t="s">
        <v>58</v>
      </c>
      <c r="B84" s="2" t="s">
        <v>1225</v>
      </c>
      <c r="C84" s="2" t="s">
        <v>1226</v>
      </c>
      <c r="D84" s="2" t="s">
        <v>1227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L84" s="2" t="s">
        <v>141</v>
      </c>
      <c r="M84" s="3" t="s">
        <v>142</v>
      </c>
      <c r="N84" s="2" t="s">
        <v>221</v>
      </c>
      <c r="O84" s="3" t="s">
        <v>64</v>
      </c>
      <c r="P84" s="3" t="s">
        <v>144</v>
      </c>
      <c r="R84" s="3" t="s">
        <v>66</v>
      </c>
      <c r="S84" s="4">
        <v>7</v>
      </c>
      <c r="T84" s="4">
        <v>7</v>
      </c>
      <c r="U84" s="5" t="s">
        <v>1228</v>
      </c>
      <c r="V84" s="5" t="s">
        <v>1228</v>
      </c>
      <c r="W84" s="5" t="s">
        <v>1229</v>
      </c>
      <c r="X84" s="5" t="s">
        <v>1229</v>
      </c>
      <c r="Y84" s="4">
        <v>412</v>
      </c>
      <c r="Z84" s="4">
        <v>329</v>
      </c>
      <c r="AA84" s="4">
        <v>338</v>
      </c>
      <c r="AB84" s="4">
        <v>3</v>
      </c>
      <c r="AC84" s="4">
        <v>3</v>
      </c>
      <c r="AD84" s="4">
        <v>12</v>
      </c>
      <c r="AE84" s="4">
        <v>12</v>
      </c>
      <c r="AF84" s="4">
        <v>6</v>
      </c>
      <c r="AG84" s="4">
        <v>6</v>
      </c>
      <c r="AH84" s="4">
        <v>2</v>
      </c>
      <c r="AI84" s="4">
        <v>2</v>
      </c>
      <c r="AJ84" s="4">
        <v>6</v>
      </c>
      <c r="AK84" s="4">
        <v>6</v>
      </c>
      <c r="AL84" s="4">
        <v>2</v>
      </c>
      <c r="AM84" s="4">
        <v>2</v>
      </c>
      <c r="AN84" s="4">
        <v>0</v>
      </c>
      <c r="AO84" s="4">
        <v>0</v>
      </c>
      <c r="AP84" s="3" t="s">
        <v>58</v>
      </c>
      <c r="AQ84" s="3" t="s">
        <v>115</v>
      </c>
      <c r="AR84" s="6" t="str">
        <f>HYPERLINK("http://catalog.hathitrust.org/Record/004516497","HathiTrust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HYPERLINK("https://creighton-primo.hosted.exlibrisgroup.com/primo-explore/search?tab=default_tab&amp;search_scope=EVERYTHING&amp;vid=01CRU&amp;lang=en_US&amp;offset=0&amp;query=any,contains,991001651059702656","Catalog Record")</f>
        <v>Catalog Record</v>
      </c>
      <c r="AT84" s="6" t="str">
        <f>HYPERLINK("http://www.worldcat.org/oclc/21080859","WorldCat Record")</f>
        <v>WorldCat Record</v>
      </c>
      <c r="AU84" s="3" t="s">
        <v>1230</v>
      </c>
      <c r="AV84" s="3" t="s">
        <v>1231</v>
      </c>
      <c r="AW84" s="3" t="s">
        <v>1232</v>
      </c>
      <c r="AX84" s="3" t="s">
        <v>1232</v>
      </c>
      <c r="AY84" s="3" t="s">
        <v>1233</v>
      </c>
      <c r="AZ84" s="3" t="s">
        <v>73</v>
      </c>
      <c r="BB84" s="3" t="s">
        <v>1234</v>
      </c>
      <c r="BC84" s="3" t="s">
        <v>1235</v>
      </c>
      <c r="BD84" s="3" t="s">
        <v>1236</v>
      </c>
    </row>
    <row r="85" spans="1:56" ht="40.5" customHeight="1" x14ac:dyDescent="0.25">
      <c r="A85" s="8" t="s">
        <v>58</v>
      </c>
      <c r="B85" s="2" t="s">
        <v>1237</v>
      </c>
      <c r="C85" s="2" t="s">
        <v>1238</v>
      </c>
      <c r="D85" s="2" t="s">
        <v>1239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1240</v>
      </c>
      <c r="L85" s="2" t="s">
        <v>1241</v>
      </c>
      <c r="M85" s="3" t="s">
        <v>642</v>
      </c>
      <c r="O85" s="3" t="s">
        <v>64</v>
      </c>
      <c r="P85" s="3" t="s">
        <v>643</v>
      </c>
      <c r="R85" s="3" t="s">
        <v>66</v>
      </c>
      <c r="S85" s="4">
        <v>0</v>
      </c>
      <c r="T85" s="4">
        <v>0</v>
      </c>
      <c r="U85" s="5" t="s">
        <v>1242</v>
      </c>
      <c r="V85" s="5" t="s">
        <v>1242</v>
      </c>
      <c r="W85" s="5" t="s">
        <v>396</v>
      </c>
      <c r="X85" s="5" t="s">
        <v>396</v>
      </c>
      <c r="Y85" s="4">
        <v>198</v>
      </c>
      <c r="Z85" s="4">
        <v>160</v>
      </c>
      <c r="AA85" s="4">
        <v>168</v>
      </c>
      <c r="AB85" s="4">
        <v>1</v>
      </c>
      <c r="AC85" s="4">
        <v>1</v>
      </c>
      <c r="AD85" s="4">
        <v>4</v>
      </c>
      <c r="AE85" s="4">
        <v>4</v>
      </c>
      <c r="AF85" s="4">
        <v>1</v>
      </c>
      <c r="AG85" s="4">
        <v>1</v>
      </c>
      <c r="AH85" s="4">
        <v>2</v>
      </c>
      <c r="AI85" s="4">
        <v>2</v>
      </c>
      <c r="AJ85" s="4">
        <v>1</v>
      </c>
      <c r="AK85" s="4">
        <v>1</v>
      </c>
      <c r="AL85" s="4">
        <v>0</v>
      </c>
      <c r="AM85" s="4">
        <v>0</v>
      </c>
      <c r="AN85" s="4">
        <v>0</v>
      </c>
      <c r="AO85" s="4">
        <v>0</v>
      </c>
      <c r="AP85" s="3" t="s">
        <v>58</v>
      </c>
      <c r="AQ85" s="3" t="s">
        <v>115</v>
      </c>
      <c r="AR85" s="6" t="str">
        <f>HYPERLINK("http://catalog.hathitrust.org/Record/001573380","HathiTrust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HYPERLINK("https://creighton-primo.hosted.exlibrisgroup.com/primo-explore/search?tab=default_tab&amp;search_scope=EVERYTHING&amp;vid=01CRU&amp;lang=en_US&amp;offset=0&amp;query=any,contains,991000123659702656","Catalog Record")</f>
        <v>Catalog Record</v>
      </c>
      <c r="AT85" s="6" t="str">
        <f>HYPERLINK("http://www.worldcat.org/oclc/51034","WorldCat Record")</f>
        <v>WorldCat Record</v>
      </c>
      <c r="AU85" s="3" t="s">
        <v>1243</v>
      </c>
      <c r="AV85" s="3" t="s">
        <v>1244</v>
      </c>
      <c r="AW85" s="3" t="s">
        <v>1245</v>
      </c>
      <c r="AX85" s="3" t="s">
        <v>1245</v>
      </c>
      <c r="AY85" s="3" t="s">
        <v>1246</v>
      </c>
      <c r="AZ85" s="3" t="s">
        <v>73</v>
      </c>
      <c r="BC85" s="3" t="s">
        <v>1247</v>
      </c>
      <c r="BD85" s="3" t="s">
        <v>1248</v>
      </c>
    </row>
    <row r="86" spans="1:56" ht="40.5" customHeight="1" x14ac:dyDescent="0.25">
      <c r="A86" s="8" t="s">
        <v>58</v>
      </c>
      <c r="B86" s="2" t="s">
        <v>1249</v>
      </c>
      <c r="C86" s="2" t="s">
        <v>1250</v>
      </c>
      <c r="D86" s="2" t="s">
        <v>1251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1252</v>
      </c>
      <c r="L86" s="2" t="s">
        <v>1253</v>
      </c>
      <c r="M86" s="3" t="s">
        <v>1254</v>
      </c>
      <c r="O86" s="3" t="s">
        <v>64</v>
      </c>
      <c r="P86" s="3" t="s">
        <v>251</v>
      </c>
      <c r="R86" s="3" t="s">
        <v>66</v>
      </c>
      <c r="S86" s="4">
        <v>2</v>
      </c>
      <c r="T86" s="4">
        <v>2</v>
      </c>
      <c r="U86" s="5" t="s">
        <v>1255</v>
      </c>
      <c r="V86" s="5" t="s">
        <v>1255</v>
      </c>
      <c r="W86" s="5" t="s">
        <v>396</v>
      </c>
      <c r="X86" s="5" t="s">
        <v>396</v>
      </c>
      <c r="Y86" s="4">
        <v>308</v>
      </c>
      <c r="Z86" s="4">
        <v>220</v>
      </c>
      <c r="AA86" s="4">
        <v>271</v>
      </c>
      <c r="AB86" s="4">
        <v>1</v>
      </c>
      <c r="AC86" s="4">
        <v>1</v>
      </c>
      <c r="AD86" s="4">
        <v>8</v>
      </c>
      <c r="AE86" s="4">
        <v>10</v>
      </c>
      <c r="AF86" s="4">
        <v>4</v>
      </c>
      <c r="AG86" s="4">
        <v>5</v>
      </c>
      <c r="AH86" s="4">
        <v>2</v>
      </c>
      <c r="AI86" s="4">
        <v>3</v>
      </c>
      <c r="AJ86" s="4">
        <v>5</v>
      </c>
      <c r="AK86" s="4">
        <v>5</v>
      </c>
      <c r="AL86" s="4">
        <v>0</v>
      </c>
      <c r="AM86" s="4">
        <v>0</v>
      </c>
      <c r="AN86" s="4">
        <v>0</v>
      </c>
      <c r="AO86" s="4">
        <v>0</v>
      </c>
      <c r="AP86" s="3" t="s">
        <v>58</v>
      </c>
      <c r="AQ86" s="3" t="s">
        <v>58</v>
      </c>
      <c r="AR86" s="6" t="str">
        <f>HYPERLINK("http://catalog.hathitrust.org/Record/001573386","HathiTrust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HYPERLINK("https://creighton-primo.hosted.exlibrisgroup.com/primo-explore/search?tab=default_tab&amp;search_scope=EVERYTHING&amp;vid=01CRU&amp;lang=en_US&amp;offset=0&amp;query=any,contains,991003545029702656","Catalog Record")</f>
        <v>Catalog Record</v>
      </c>
      <c r="AT86" s="6" t="str">
        <f>HYPERLINK("http://www.worldcat.org/oclc/1111110","WorldCat Record")</f>
        <v>WorldCat Record</v>
      </c>
      <c r="AU86" s="3" t="s">
        <v>1256</v>
      </c>
      <c r="AV86" s="3" t="s">
        <v>1257</v>
      </c>
      <c r="AW86" s="3" t="s">
        <v>1258</v>
      </c>
      <c r="AX86" s="3" t="s">
        <v>1258</v>
      </c>
      <c r="AY86" s="3" t="s">
        <v>1259</v>
      </c>
      <c r="AZ86" s="3" t="s">
        <v>73</v>
      </c>
      <c r="BC86" s="3" t="s">
        <v>1260</v>
      </c>
      <c r="BD86" s="3" t="s">
        <v>1261</v>
      </c>
    </row>
    <row r="87" spans="1:56" ht="40.5" customHeight="1" x14ac:dyDescent="0.25">
      <c r="A87" s="8" t="s">
        <v>58</v>
      </c>
      <c r="B87" s="2" t="s">
        <v>1262</v>
      </c>
      <c r="C87" s="2" t="s">
        <v>1263</v>
      </c>
      <c r="D87" s="2" t="s">
        <v>1264</v>
      </c>
      <c r="E87" s="3" t="s">
        <v>1265</v>
      </c>
      <c r="F87" s="3" t="s">
        <v>115</v>
      </c>
      <c r="G87" s="3" t="s">
        <v>59</v>
      </c>
      <c r="H87" s="3" t="s">
        <v>58</v>
      </c>
      <c r="I87" s="3" t="s">
        <v>58</v>
      </c>
      <c r="J87" s="3" t="s">
        <v>60</v>
      </c>
      <c r="L87" s="2" t="s">
        <v>1266</v>
      </c>
      <c r="M87" s="3" t="s">
        <v>821</v>
      </c>
      <c r="N87" s="2" t="s">
        <v>1267</v>
      </c>
      <c r="O87" s="3" t="s">
        <v>64</v>
      </c>
      <c r="P87" s="3" t="s">
        <v>65</v>
      </c>
      <c r="R87" s="3" t="s">
        <v>66</v>
      </c>
      <c r="S87" s="4">
        <v>0</v>
      </c>
      <c r="T87" s="4">
        <v>1</v>
      </c>
      <c r="V87" s="5" t="s">
        <v>1268</v>
      </c>
      <c r="W87" s="5" t="s">
        <v>837</v>
      </c>
      <c r="X87" s="5" t="s">
        <v>837</v>
      </c>
      <c r="Y87" s="4">
        <v>367</v>
      </c>
      <c r="Z87" s="4">
        <v>288</v>
      </c>
      <c r="AA87" s="4">
        <v>299</v>
      </c>
      <c r="AB87" s="4">
        <v>3</v>
      </c>
      <c r="AC87" s="4">
        <v>3</v>
      </c>
      <c r="AD87" s="4">
        <v>6</v>
      </c>
      <c r="AE87" s="4">
        <v>7</v>
      </c>
      <c r="AF87" s="4">
        <v>0</v>
      </c>
      <c r="AG87" s="4">
        <v>1</v>
      </c>
      <c r="AH87" s="4">
        <v>1</v>
      </c>
      <c r="AI87" s="4">
        <v>1</v>
      </c>
      <c r="AJ87" s="4">
        <v>3</v>
      </c>
      <c r="AK87" s="4">
        <v>4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115</v>
      </c>
      <c r="AR87" s="6" t="str">
        <f>HYPERLINK("http://catalog.hathitrust.org/Record/004422521","HathiTrust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T87" s="6" t="str">
        <f>HYPERLINK("http://www.worldcat.org/oclc/288832","WorldCat Record")</f>
        <v>WorldCat Record</v>
      </c>
      <c r="AU87" s="3" t="s">
        <v>1269</v>
      </c>
      <c r="AV87" s="3" t="s">
        <v>1270</v>
      </c>
      <c r="AW87" s="3" t="s">
        <v>1271</v>
      </c>
      <c r="AX87" s="3" t="s">
        <v>1271</v>
      </c>
      <c r="AY87" s="3" t="s">
        <v>1272</v>
      </c>
      <c r="AZ87" s="3" t="s">
        <v>73</v>
      </c>
      <c r="BC87" s="3" t="s">
        <v>1273</v>
      </c>
      <c r="BD87" s="3" t="s">
        <v>1274</v>
      </c>
    </row>
    <row r="88" spans="1:56" ht="40.5" customHeight="1" x14ac:dyDescent="0.25">
      <c r="A88" s="8" t="s">
        <v>58</v>
      </c>
      <c r="B88" s="2" t="s">
        <v>1262</v>
      </c>
      <c r="C88" s="2" t="s">
        <v>1263</v>
      </c>
      <c r="D88" s="2" t="s">
        <v>1264</v>
      </c>
      <c r="F88" s="3" t="s">
        <v>115</v>
      </c>
      <c r="G88" s="3" t="s">
        <v>59</v>
      </c>
      <c r="H88" s="3" t="s">
        <v>115</v>
      </c>
      <c r="I88" s="3" t="s">
        <v>58</v>
      </c>
      <c r="J88" s="3" t="s">
        <v>60</v>
      </c>
      <c r="L88" s="2" t="s">
        <v>1266</v>
      </c>
      <c r="M88" s="3" t="s">
        <v>821</v>
      </c>
      <c r="N88" s="2" t="s">
        <v>1267</v>
      </c>
      <c r="O88" s="3" t="s">
        <v>64</v>
      </c>
      <c r="P88" s="3" t="s">
        <v>65</v>
      </c>
      <c r="R88" s="3" t="s">
        <v>66</v>
      </c>
      <c r="S88" s="4">
        <v>0</v>
      </c>
      <c r="T88" s="4">
        <v>1</v>
      </c>
      <c r="V88" s="5" t="s">
        <v>1268</v>
      </c>
      <c r="W88" s="5" t="s">
        <v>837</v>
      </c>
      <c r="X88" s="5" t="s">
        <v>837</v>
      </c>
      <c r="Y88" s="4">
        <v>367</v>
      </c>
      <c r="Z88" s="4">
        <v>288</v>
      </c>
      <c r="AA88" s="4">
        <v>299</v>
      </c>
      <c r="AB88" s="4">
        <v>3</v>
      </c>
      <c r="AC88" s="4">
        <v>3</v>
      </c>
      <c r="AD88" s="4">
        <v>6</v>
      </c>
      <c r="AE88" s="4">
        <v>7</v>
      </c>
      <c r="AF88" s="4">
        <v>0</v>
      </c>
      <c r="AG88" s="4">
        <v>1</v>
      </c>
      <c r="AH88" s="4">
        <v>1</v>
      </c>
      <c r="AI88" s="4">
        <v>1</v>
      </c>
      <c r="AJ88" s="4">
        <v>3</v>
      </c>
      <c r="AK88" s="4">
        <v>4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115</v>
      </c>
      <c r="AR88" s="6" t="str">
        <f>HYPERLINK("http://catalog.hathitrust.org/Record/004422521","HathiTrust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T88" s="6" t="str">
        <f>HYPERLINK("http://www.worldcat.org/oclc/288832","WorldCat Record")</f>
        <v>WorldCat Record</v>
      </c>
      <c r="AU88" s="3" t="s">
        <v>1269</v>
      </c>
      <c r="AV88" s="3" t="s">
        <v>1270</v>
      </c>
      <c r="AW88" s="3" t="s">
        <v>1271</v>
      </c>
      <c r="AX88" s="3" t="s">
        <v>1271</v>
      </c>
      <c r="AY88" s="3" t="s">
        <v>1272</v>
      </c>
      <c r="AZ88" s="3" t="s">
        <v>73</v>
      </c>
      <c r="BC88" s="3" t="s">
        <v>1275</v>
      </c>
      <c r="BD88" s="3" t="s">
        <v>1276</v>
      </c>
    </row>
    <row r="89" spans="1:56" ht="40.5" customHeight="1" x14ac:dyDescent="0.25">
      <c r="A89" s="8" t="s">
        <v>58</v>
      </c>
      <c r="B89" s="2" t="s">
        <v>1262</v>
      </c>
      <c r="C89" s="2" t="s">
        <v>1263</v>
      </c>
      <c r="D89" s="2" t="s">
        <v>1264</v>
      </c>
      <c r="E89" s="3" t="s">
        <v>1277</v>
      </c>
      <c r="F89" s="3" t="s">
        <v>115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1266</v>
      </c>
      <c r="M89" s="3" t="s">
        <v>821</v>
      </c>
      <c r="N89" s="2" t="s">
        <v>1267</v>
      </c>
      <c r="O89" s="3" t="s">
        <v>64</v>
      </c>
      <c r="P89" s="3" t="s">
        <v>65</v>
      </c>
      <c r="R89" s="3" t="s">
        <v>66</v>
      </c>
      <c r="S89" s="4">
        <v>1</v>
      </c>
      <c r="T89" s="4">
        <v>1</v>
      </c>
      <c r="U89" s="5" t="s">
        <v>1268</v>
      </c>
      <c r="V89" s="5" t="s">
        <v>1268</v>
      </c>
      <c r="W89" s="5" t="s">
        <v>837</v>
      </c>
      <c r="X89" s="5" t="s">
        <v>837</v>
      </c>
      <c r="Y89" s="4">
        <v>367</v>
      </c>
      <c r="Z89" s="4">
        <v>288</v>
      </c>
      <c r="AA89" s="4">
        <v>299</v>
      </c>
      <c r="AB89" s="4">
        <v>3</v>
      </c>
      <c r="AC89" s="4">
        <v>3</v>
      </c>
      <c r="AD89" s="4">
        <v>6</v>
      </c>
      <c r="AE89" s="4">
        <v>7</v>
      </c>
      <c r="AF89" s="4">
        <v>0</v>
      </c>
      <c r="AG89" s="4">
        <v>1</v>
      </c>
      <c r="AH89" s="4">
        <v>1</v>
      </c>
      <c r="AI89" s="4">
        <v>1</v>
      </c>
      <c r="AJ89" s="4">
        <v>3</v>
      </c>
      <c r="AK89" s="4">
        <v>4</v>
      </c>
      <c r="AL89" s="4">
        <v>2</v>
      </c>
      <c r="AM89" s="4">
        <v>2</v>
      </c>
      <c r="AN89" s="4">
        <v>0</v>
      </c>
      <c r="AO89" s="4">
        <v>0</v>
      </c>
      <c r="AP89" s="3" t="s">
        <v>58</v>
      </c>
      <c r="AQ89" s="3" t="s">
        <v>115</v>
      </c>
      <c r="AR89" s="6" t="str">
        <f>HYPERLINK("http://catalog.hathitrust.org/Record/004422521","HathiTrust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T89" s="6" t="str">
        <f>HYPERLINK("http://www.worldcat.org/oclc/288832","WorldCat Record")</f>
        <v>WorldCat Record</v>
      </c>
      <c r="AU89" s="3" t="s">
        <v>1269</v>
      </c>
      <c r="AV89" s="3" t="s">
        <v>1270</v>
      </c>
      <c r="AW89" s="3" t="s">
        <v>1271</v>
      </c>
      <c r="AX89" s="3" t="s">
        <v>1271</v>
      </c>
      <c r="AY89" s="3" t="s">
        <v>1272</v>
      </c>
      <c r="AZ89" s="3" t="s">
        <v>73</v>
      </c>
      <c r="BC89" s="3" t="s">
        <v>1278</v>
      </c>
      <c r="BD89" s="3" t="s">
        <v>1279</v>
      </c>
    </row>
    <row r="90" spans="1:56" ht="40.5" customHeight="1" x14ac:dyDescent="0.25">
      <c r="A90" s="8" t="s">
        <v>58</v>
      </c>
      <c r="B90" s="2" t="s">
        <v>1262</v>
      </c>
      <c r="C90" s="2" t="s">
        <v>1263</v>
      </c>
      <c r="D90" s="2" t="s">
        <v>1264</v>
      </c>
      <c r="E90" s="3" t="s">
        <v>1280</v>
      </c>
      <c r="F90" s="3" t="s">
        <v>115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1266</v>
      </c>
      <c r="M90" s="3" t="s">
        <v>821</v>
      </c>
      <c r="N90" s="2" t="s">
        <v>1267</v>
      </c>
      <c r="O90" s="3" t="s">
        <v>64</v>
      </c>
      <c r="P90" s="3" t="s">
        <v>65</v>
      </c>
      <c r="R90" s="3" t="s">
        <v>66</v>
      </c>
      <c r="S90" s="4">
        <v>0</v>
      </c>
      <c r="T90" s="4">
        <v>1</v>
      </c>
      <c r="V90" s="5" t="s">
        <v>1268</v>
      </c>
      <c r="W90" s="5" t="s">
        <v>837</v>
      </c>
      <c r="X90" s="5" t="s">
        <v>837</v>
      </c>
      <c r="Y90" s="4">
        <v>367</v>
      </c>
      <c r="Z90" s="4">
        <v>288</v>
      </c>
      <c r="AA90" s="4">
        <v>299</v>
      </c>
      <c r="AB90" s="4">
        <v>3</v>
      </c>
      <c r="AC90" s="4">
        <v>3</v>
      </c>
      <c r="AD90" s="4">
        <v>6</v>
      </c>
      <c r="AE90" s="4">
        <v>7</v>
      </c>
      <c r="AF90" s="4">
        <v>0</v>
      </c>
      <c r="AG90" s="4">
        <v>1</v>
      </c>
      <c r="AH90" s="4">
        <v>1</v>
      </c>
      <c r="AI90" s="4">
        <v>1</v>
      </c>
      <c r="AJ90" s="4">
        <v>3</v>
      </c>
      <c r="AK90" s="4">
        <v>4</v>
      </c>
      <c r="AL90" s="4">
        <v>2</v>
      </c>
      <c r="AM90" s="4">
        <v>2</v>
      </c>
      <c r="AN90" s="4">
        <v>0</v>
      </c>
      <c r="AO90" s="4">
        <v>0</v>
      </c>
      <c r="AP90" s="3" t="s">
        <v>58</v>
      </c>
      <c r="AQ90" s="3" t="s">
        <v>115</v>
      </c>
      <c r="AR90" s="6" t="str">
        <f>HYPERLINK("http://catalog.hathitrust.org/Record/004422521","HathiTrust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HYPERLINK("https://creighton-primo.hosted.exlibrisgroup.com/primo-explore/search?tab=default_tab&amp;search_scope=EVERYTHING&amp;vid=01CRU&amp;lang=en_US&amp;offset=0&amp;query=any,contains,991002216259702656","Catalog Record")</f>
        <v>Catalog Record</v>
      </c>
      <c r="AT90" s="6" t="str">
        <f>HYPERLINK("http://www.worldcat.org/oclc/288832","WorldCat Record")</f>
        <v>WorldCat Record</v>
      </c>
      <c r="AU90" s="3" t="s">
        <v>1269</v>
      </c>
      <c r="AV90" s="3" t="s">
        <v>1270</v>
      </c>
      <c r="AW90" s="3" t="s">
        <v>1271</v>
      </c>
      <c r="AX90" s="3" t="s">
        <v>1271</v>
      </c>
      <c r="AY90" s="3" t="s">
        <v>1272</v>
      </c>
      <c r="AZ90" s="3" t="s">
        <v>73</v>
      </c>
      <c r="BC90" s="3" t="s">
        <v>1281</v>
      </c>
      <c r="BD90" s="3" t="s">
        <v>1282</v>
      </c>
    </row>
    <row r="91" spans="1:56" ht="40.5" customHeight="1" x14ac:dyDescent="0.25">
      <c r="A91" s="8" t="s">
        <v>58</v>
      </c>
      <c r="B91" s="2" t="s">
        <v>1283</v>
      </c>
      <c r="C91" s="2" t="s">
        <v>1284</v>
      </c>
      <c r="D91" s="2" t="s">
        <v>1285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1286</v>
      </c>
      <c r="L91" s="2" t="s">
        <v>1287</v>
      </c>
      <c r="M91" s="3" t="s">
        <v>408</v>
      </c>
      <c r="N91" s="2" t="s">
        <v>174</v>
      </c>
      <c r="O91" s="3" t="s">
        <v>64</v>
      </c>
      <c r="P91" s="3" t="s">
        <v>1288</v>
      </c>
      <c r="R91" s="3" t="s">
        <v>66</v>
      </c>
      <c r="S91" s="4">
        <v>2</v>
      </c>
      <c r="T91" s="4">
        <v>2</v>
      </c>
      <c r="U91" s="5" t="s">
        <v>1289</v>
      </c>
      <c r="V91" s="5" t="s">
        <v>1289</v>
      </c>
      <c r="W91" s="5" t="s">
        <v>1290</v>
      </c>
      <c r="X91" s="5" t="s">
        <v>1290</v>
      </c>
      <c r="Y91" s="4">
        <v>83</v>
      </c>
      <c r="Z91" s="4">
        <v>73</v>
      </c>
      <c r="AA91" s="4">
        <v>75</v>
      </c>
      <c r="AB91" s="4">
        <v>1</v>
      </c>
      <c r="AC91" s="4">
        <v>1</v>
      </c>
      <c r="AD91" s="4">
        <v>3</v>
      </c>
      <c r="AE91" s="4">
        <v>3</v>
      </c>
      <c r="AF91" s="4">
        <v>2</v>
      </c>
      <c r="AG91" s="4">
        <v>2</v>
      </c>
      <c r="AH91" s="4">
        <v>1</v>
      </c>
      <c r="AI91" s="4">
        <v>1</v>
      </c>
      <c r="AJ91" s="4">
        <v>2</v>
      </c>
      <c r="AK91" s="4">
        <v>2</v>
      </c>
      <c r="AL91" s="4">
        <v>0</v>
      </c>
      <c r="AM91" s="4">
        <v>0</v>
      </c>
      <c r="AN91" s="4">
        <v>0</v>
      </c>
      <c r="AO91" s="4">
        <v>0</v>
      </c>
      <c r="AP91" s="3" t="s">
        <v>58</v>
      </c>
      <c r="AQ91" s="3" t="s">
        <v>115</v>
      </c>
      <c r="AR91" s="6" t="str">
        <f>HYPERLINK("http://catalog.hathitrust.org/Record/004422526","HathiTrust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HYPERLINK("https://creighton-primo.hosted.exlibrisgroup.com/primo-explore/search?tab=default_tab&amp;search_scope=EVERYTHING&amp;vid=01CRU&amp;lang=en_US&amp;offset=0&amp;query=any,contains,991000672389702656","Catalog Record")</f>
        <v>Catalog Record</v>
      </c>
      <c r="AT91" s="6" t="str">
        <f>HYPERLINK("http://www.worldcat.org/oclc/17918673","WorldCat Record")</f>
        <v>WorldCat Record</v>
      </c>
      <c r="AU91" s="3" t="s">
        <v>1291</v>
      </c>
      <c r="AV91" s="3" t="s">
        <v>1292</v>
      </c>
      <c r="AW91" s="3" t="s">
        <v>1293</v>
      </c>
      <c r="AX91" s="3" t="s">
        <v>1293</v>
      </c>
      <c r="AY91" s="3" t="s">
        <v>1294</v>
      </c>
      <c r="AZ91" s="3" t="s">
        <v>73</v>
      </c>
      <c r="BC91" s="3" t="s">
        <v>1295</v>
      </c>
      <c r="BD91" s="3" t="s">
        <v>1296</v>
      </c>
    </row>
    <row r="92" spans="1:56" ht="40.5" customHeight="1" x14ac:dyDescent="0.25">
      <c r="A92" s="8" t="s">
        <v>58</v>
      </c>
      <c r="B92" s="2" t="s">
        <v>1297</v>
      </c>
      <c r="C92" s="2" t="s">
        <v>1298</v>
      </c>
      <c r="D92" s="2" t="s">
        <v>1299</v>
      </c>
      <c r="F92" s="3" t="s">
        <v>58</v>
      </c>
      <c r="G92" s="3" t="s">
        <v>59</v>
      </c>
      <c r="H92" s="3" t="s">
        <v>115</v>
      </c>
      <c r="I92" s="3" t="s">
        <v>58</v>
      </c>
      <c r="J92" s="3" t="s">
        <v>60</v>
      </c>
      <c r="L92" s="2" t="s">
        <v>1300</v>
      </c>
      <c r="M92" s="3" t="s">
        <v>725</v>
      </c>
      <c r="N92" s="2" t="s">
        <v>936</v>
      </c>
      <c r="O92" s="3" t="s">
        <v>64</v>
      </c>
      <c r="P92" s="3" t="s">
        <v>643</v>
      </c>
      <c r="Q92" s="2" t="s">
        <v>1092</v>
      </c>
      <c r="R92" s="3" t="s">
        <v>66</v>
      </c>
      <c r="S92" s="4">
        <v>2</v>
      </c>
      <c r="T92" s="4">
        <v>2</v>
      </c>
      <c r="U92" s="5" t="s">
        <v>1289</v>
      </c>
      <c r="V92" s="5" t="s">
        <v>1289</v>
      </c>
      <c r="W92" s="5" t="s">
        <v>396</v>
      </c>
      <c r="X92" s="5" t="s">
        <v>396</v>
      </c>
      <c r="Y92" s="4">
        <v>249</v>
      </c>
      <c r="Z92" s="4">
        <v>193</v>
      </c>
      <c r="AA92" s="4">
        <v>335</v>
      </c>
      <c r="AB92" s="4">
        <v>2</v>
      </c>
      <c r="AC92" s="4">
        <v>2</v>
      </c>
      <c r="AD92" s="4">
        <v>3</v>
      </c>
      <c r="AE92" s="4">
        <v>8</v>
      </c>
      <c r="AF92" s="4">
        <v>3</v>
      </c>
      <c r="AG92" s="4">
        <v>6</v>
      </c>
      <c r="AH92" s="4">
        <v>0</v>
      </c>
      <c r="AI92" s="4">
        <v>1</v>
      </c>
      <c r="AJ92" s="4">
        <v>1</v>
      </c>
      <c r="AK92" s="4">
        <v>4</v>
      </c>
      <c r="AL92" s="4">
        <v>0</v>
      </c>
      <c r="AM92" s="4">
        <v>0</v>
      </c>
      <c r="AN92" s="4">
        <v>0</v>
      </c>
      <c r="AO92" s="4">
        <v>0</v>
      </c>
      <c r="AP92" s="3" t="s">
        <v>58</v>
      </c>
      <c r="AQ92" s="3" t="s">
        <v>115</v>
      </c>
      <c r="AR92" s="6" t="str">
        <f>HYPERLINK("http://catalog.hathitrust.org/Record/000268869","HathiTrust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HYPERLINK("https://creighton-primo.hosted.exlibrisgroup.com/primo-explore/search?tab=default_tab&amp;search_scope=EVERYTHING&amp;vid=01CRU&amp;lang=en_US&amp;offset=0&amp;query=any,contains,991005156039702656","Catalog Record")</f>
        <v>Catalog Record</v>
      </c>
      <c r="AT92" s="6" t="str">
        <f>HYPERLINK("http://www.worldcat.org/oclc/7739828","WorldCat Record")</f>
        <v>WorldCat Record</v>
      </c>
      <c r="AU92" s="3" t="s">
        <v>1301</v>
      </c>
      <c r="AV92" s="3" t="s">
        <v>1302</v>
      </c>
      <c r="AW92" s="3" t="s">
        <v>1303</v>
      </c>
      <c r="AX92" s="3" t="s">
        <v>1303</v>
      </c>
      <c r="AY92" s="3" t="s">
        <v>1304</v>
      </c>
      <c r="AZ92" s="3" t="s">
        <v>73</v>
      </c>
      <c r="BB92" s="3" t="s">
        <v>1305</v>
      </c>
      <c r="BC92" s="3" t="s">
        <v>1306</v>
      </c>
      <c r="BD92" s="3" t="s">
        <v>1307</v>
      </c>
    </row>
    <row r="93" spans="1:56" ht="40.5" customHeight="1" x14ac:dyDescent="0.25">
      <c r="A93" s="8" t="s">
        <v>58</v>
      </c>
      <c r="B93" s="2" t="s">
        <v>1308</v>
      </c>
      <c r="C93" s="2" t="s">
        <v>1309</v>
      </c>
      <c r="D93" s="2" t="s">
        <v>1310</v>
      </c>
      <c r="F93" s="3" t="s">
        <v>58</v>
      </c>
      <c r="G93" s="3" t="s">
        <v>59</v>
      </c>
      <c r="H93" s="3" t="s">
        <v>115</v>
      </c>
      <c r="I93" s="3" t="s">
        <v>115</v>
      </c>
      <c r="J93" s="3" t="s">
        <v>60</v>
      </c>
      <c r="K93" s="2" t="s">
        <v>1311</v>
      </c>
      <c r="L93" s="2" t="s">
        <v>949</v>
      </c>
      <c r="M93" s="3" t="s">
        <v>173</v>
      </c>
      <c r="N93" s="2" t="s">
        <v>143</v>
      </c>
      <c r="O93" s="3" t="s">
        <v>64</v>
      </c>
      <c r="P93" s="3" t="s">
        <v>643</v>
      </c>
      <c r="R93" s="3" t="s">
        <v>66</v>
      </c>
      <c r="S93" s="4">
        <v>3</v>
      </c>
      <c r="T93" s="4">
        <v>61</v>
      </c>
      <c r="U93" s="5" t="s">
        <v>1312</v>
      </c>
      <c r="V93" s="5" t="s">
        <v>1313</v>
      </c>
      <c r="W93" s="5" t="s">
        <v>1314</v>
      </c>
      <c r="X93" s="5" t="s">
        <v>1314</v>
      </c>
      <c r="Y93" s="4">
        <v>214</v>
      </c>
      <c r="Z93" s="4">
        <v>166</v>
      </c>
      <c r="AA93" s="4">
        <v>332</v>
      </c>
      <c r="AB93" s="4">
        <v>2</v>
      </c>
      <c r="AC93" s="4">
        <v>2</v>
      </c>
      <c r="AD93" s="4">
        <v>6</v>
      </c>
      <c r="AE93" s="4">
        <v>13</v>
      </c>
      <c r="AF93" s="4">
        <v>5</v>
      </c>
      <c r="AG93" s="4">
        <v>9</v>
      </c>
      <c r="AH93" s="4">
        <v>1</v>
      </c>
      <c r="AI93" s="4">
        <v>3</v>
      </c>
      <c r="AJ93" s="4">
        <v>1</v>
      </c>
      <c r="AK93" s="4">
        <v>3</v>
      </c>
      <c r="AL93" s="4">
        <v>0</v>
      </c>
      <c r="AM93" s="4">
        <v>0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HYPERLINK("https://creighton-primo.hosted.exlibrisgroup.com/primo-explore/search?tab=default_tab&amp;search_scope=EVERYTHING&amp;vid=01CRU&amp;lang=en_US&amp;offset=0&amp;query=any,contains,991001798559702656","Catalog Record")</f>
        <v>Catalog Record</v>
      </c>
      <c r="AT93" s="6" t="str">
        <f>HYPERLINK("http://www.worldcat.org/oclc/31074941","WorldCat Record")</f>
        <v>WorldCat Record</v>
      </c>
      <c r="AU93" s="3" t="s">
        <v>1315</v>
      </c>
      <c r="AV93" s="3" t="s">
        <v>1316</v>
      </c>
      <c r="AW93" s="3" t="s">
        <v>1317</v>
      </c>
      <c r="AX93" s="3" t="s">
        <v>1317</v>
      </c>
      <c r="AY93" s="3" t="s">
        <v>1318</v>
      </c>
      <c r="AZ93" s="3" t="s">
        <v>73</v>
      </c>
      <c r="BB93" s="3" t="s">
        <v>1319</v>
      </c>
      <c r="BC93" s="3" t="s">
        <v>1320</v>
      </c>
      <c r="BD93" s="3" t="s">
        <v>1321</v>
      </c>
    </row>
    <row r="94" spans="1:56" ht="40.5" customHeight="1" x14ac:dyDescent="0.25">
      <c r="A94" s="8" t="s">
        <v>58</v>
      </c>
      <c r="B94" s="2" t="s">
        <v>1322</v>
      </c>
      <c r="C94" s="2" t="s">
        <v>1323</v>
      </c>
      <c r="D94" s="2" t="s">
        <v>1324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1325</v>
      </c>
      <c r="L94" s="2" t="s">
        <v>1326</v>
      </c>
      <c r="M94" s="3" t="s">
        <v>1327</v>
      </c>
      <c r="O94" s="3" t="s">
        <v>64</v>
      </c>
      <c r="P94" s="3" t="s">
        <v>65</v>
      </c>
      <c r="Q94" s="2" t="s">
        <v>1328</v>
      </c>
      <c r="R94" s="3" t="s">
        <v>66</v>
      </c>
      <c r="S94" s="4">
        <v>4</v>
      </c>
      <c r="T94" s="4">
        <v>4</v>
      </c>
      <c r="U94" s="5" t="s">
        <v>1329</v>
      </c>
      <c r="V94" s="5" t="s">
        <v>1329</v>
      </c>
      <c r="W94" s="5" t="s">
        <v>1330</v>
      </c>
      <c r="X94" s="5" t="s">
        <v>1330</v>
      </c>
      <c r="Y94" s="4">
        <v>245</v>
      </c>
      <c r="Z94" s="4">
        <v>211</v>
      </c>
      <c r="AA94" s="4">
        <v>844</v>
      </c>
      <c r="AB94" s="4">
        <v>1</v>
      </c>
      <c r="AC94" s="4">
        <v>9</v>
      </c>
      <c r="AD94" s="4">
        <v>6</v>
      </c>
      <c r="AE94" s="4">
        <v>36</v>
      </c>
      <c r="AF94" s="4">
        <v>1</v>
      </c>
      <c r="AG94" s="4">
        <v>14</v>
      </c>
      <c r="AH94" s="4">
        <v>1</v>
      </c>
      <c r="AI94" s="4">
        <v>5</v>
      </c>
      <c r="AJ94" s="4">
        <v>4</v>
      </c>
      <c r="AK94" s="4">
        <v>16</v>
      </c>
      <c r="AL94" s="4">
        <v>0</v>
      </c>
      <c r="AM94" s="4">
        <v>7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HYPERLINK("https://creighton-primo.hosted.exlibrisgroup.com/primo-explore/search?tab=default_tab&amp;search_scope=EVERYTHING&amp;vid=01CRU&amp;lang=en_US&amp;offset=0&amp;query=any,contains,991001927579702656","Catalog Record")</f>
        <v>Catalog Record</v>
      </c>
      <c r="AT94" s="6" t="str">
        <f>HYPERLINK("http://www.worldcat.org/oclc/24336763","WorldCat Record")</f>
        <v>WorldCat Record</v>
      </c>
      <c r="AU94" s="3" t="s">
        <v>1331</v>
      </c>
      <c r="AV94" s="3" t="s">
        <v>1332</v>
      </c>
      <c r="AW94" s="3" t="s">
        <v>1333</v>
      </c>
      <c r="AX94" s="3" t="s">
        <v>1333</v>
      </c>
      <c r="AY94" s="3" t="s">
        <v>1334</v>
      </c>
      <c r="AZ94" s="3" t="s">
        <v>73</v>
      </c>
      <c r="BC94" s="3" t="s">
        <v>1335</v>
      </c>
      <c r="BD94" s="3" t="s">
        <v>1336</v>
      </c>
    </row>
    <row r="95" spans="1:56" ht="40.5" customHeight="1" x14ac:dyDescent="0.25">
      <c r="A95" s="8" t="s">
        <v>58</v>
      </c>
      <c r="B95" s="2" t="s">
        <v>1338</v>
      </c>
      <c r="C95" s="2" t="s">
        <v>1339</v>
      </c>
      <c r="D95" s="2" t="s">
        <v>1340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1341</v>
      </c>
      <c r="L95" s="2" t="s">
        <v>1342</v>
      </c>
      <c r="M95" s="3" t="s">
        <v>1343</v>
      </c>
      <c r="N95" s="2" t="s">
        <v>1344</v>
      </c>
      <c r="O95" s="3" t="s">
        <v>64</v>
      </c>
      <c r="P95" s="3" t="s">
        <v>1345</v>
      </c>
      <c r="R95" s="3" t="s">
        <v>1346</v>
      </c>
      <c r="S95" s="4">
        <v>1</v>
      </c>
      <c r="T95" s="4">
        <v>1</v>
      </c>
      <c r="U95" s="5" t="s">
        <v>1347</v>
      </c>
      <c r="V95" s="5" t="s">
        <v>1347</v>
      </c>
      <c r="W95" s="5" t="s">
        <v>1348</v>
      </c>
      <c r="X95" s="5" t="s">
        <v>1348</v>
      </c>
      <c r="Y95" s="4">
        <v>6</v>
      </c>
      <c r="Z95" s="4">
        <v>2</v>
      </c>
      <c r="AA95" s="4">
        <v>10</v>
      </c>
      <c r="AB95" s="4">
        <v>1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HYPERLINK("https://creighton-primo.hosted.exlibrisgroup.com/primo-explore/search?tab=default_tab&amp;search_scope=EVERYTHING&amp;vid=01CRU&amp;lang=en_US&amp;offset=0&amp;query=any,contains,991000911909702656","Catalog Record")</f>
        <v>Catalog Record</v>
      </c>
      <c r="AT95" s="6" t="str">
        <f>HYPERLINK("http://www.worldcat.org/oclc/14795894","WorldCat Record")</f>
        <v>WorldCat Record</v>
      </c>
    </row>
    <row r="96" spans="1:56" ht="40.5" customHeight="1" x14ac:dyDescent="0.25">
      <c r="A96" s="8" t="s">
        <v>58</v>
      </c>
      <c r="B96" s="2" t="s">
        <v>1349</v>
      </c>
      <c r="C96" s="2" t="s">
        <v>1350</v>
      </c>
      <c r="D96" s="2" t="s">
        <v>1351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1352</v>
      </c>
      <c r="L96" s="2" t="s">
        <v>1353</v>
      </c>
      <c r="M96" s="3" t="s">
        <v>1177</v>
      </c>
      <c r="N96" s="2" t="s">
        <v>1354</v>
      </c>
      <c r="O96" s="3" t="s">
        <v>64</v>
      </c>
      <c r="P96" s="3" t="s">
        <v>1355</v>
      </c>
      <c r="R96" s="3" t="s">
        <v>1346</v>
      </c>
      <c r="S96" s="4">
        <v>4</v>
      </c>
      <c r="T96" s="4">
        <v>4</v>
      </c>
      <c r="U96" s="5" t="s">
        <v>1356</v>
      </c>
      <c r="V96" s="5" t="s">
        <v>1356</v>
      </c>
      <c r="W96" s="5" t="s">
        <v>1357</v>
      </c>
      <c r="X96" s="5" t="s">
        <v>1357</v>
      </c>
      <c r="Y96" s="4">
        <v>139</v>
      </c>
      <c r="Z96" s="4">
        <v>102</v>
      </c>
      <c r="AA96" s="4">
        <v>355</v>
      </c>
      <c r="AB96" s="4">
        <v>1</v>
      </c>
      <c r="AC96" s="4">
        <v>3</v>
      </c>
      <c r="AD96" s="4">
        <v>4</v>
      </c>
      <c r="AE96" s="4">
        <v>9</v>
      </c>
      <c r="AF96" s="4">
        <v>3</v>
      </c>
      <c r="AG96" s="4">
        <v>3</v>
      </c>
      <c r="AH96" s="4">
        <v>0</v>
      </c>
      <c r="AI96" s="4">
        <v>1</v>
      </c>
      <c r="AJ96" s="4">
        <v>1</v>
      </c>
      <c r="AK96" s="4">
        <v>5</v>
      </c>
      <c r="AL96" s="4">
        <v>0</v>
      </c>
      <c r="AM96" s="4">
        <v>1</v>
      </c>
      <c r="AN96" s="4">
        <v>0</v>
      </c>
      <c r="AO96" s="4">
        <v>0</v>
      </c>
      <c r="AP96" s="3" t="s">
        <v>58</v>
      </c>
      <c r="AQ96" s="3" t="s">
        <v>115</v>
      </c>
      <c r="AR96" s="6" t="str">
        <f>HYPERLINK("http://catalog.hathitrust.org/Record/000811926","HathiTrust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HYPERLINK("https://creighton-primo.hosted.exlibrisgroup.com/primo-explore/search?tab=default_tab&amp;search_scope=EVERYTHING&amp;vid=01CRU&amp;lang=en_US&amp;offset=0&amp;query=any,contains,991000747119702656","Catalog Record")</f>
        <v>Catalog Record</v>
      </c>
      <c r="AT96" s="6" t="str">
        <f>HYPERLINK("http://www.worldcat.org/oclc/14188822","WorldCat Record")</f>
        <v>WorldCat Record</v>
      </c>
    </row>
    <row r="97" spans="1:46" ht="40.5" customHeight="1" x14ac:dyDescent="0.25">
      <c r="A97" s="8" t="s">
        <v>58</v>
      </c>
      <c r="B97" s="2" t="s">
        <v>1358</v>
      </c>
      <c r="C97" s="2" t="s">
        <v>1359</v>
      </c>
      <c r="D97" s="2" t="s">
        <v>1360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1352</v>
      </c>
      <c r="L97" s="2" t="s">
        <v>1361</v>
      </c>
      <c r="M97" s="3" t="s">
        <v>408</v>
      </c>
      <c r="N97" s="2" t="s">
        <v>1362</v>
      </c>
      <c r="O97" s="3" t="s">
        <v>64</v>
      </c>
      <c r="P97" s="3" t="s">
        <v>1355</v>
      </c>
      <c r="R97" s="3" t="s">
        <v>1346</v>
      </c>
      <c r="S97" s="4">
        <v>22</v>
      </c>
      <c r="T97" s="4">
        <v>22</v>
      </c>
      <c r="U97" s="5" t="s">
        <v>1363</v>
      </c>
      <c r="V97" s="5" t="s">
        <v>1363</v>
      </c>
      <c r="W97" s="5" t="s">
        <v>1357</v>
      </c>
      <c r="X97" s="5" t="s">
        <v>1357</v>
      </c>
      <c r="Y97" s="4">
        <v>259</v>
      </c>
      <c r="Z97" s="4">
        <v>210</v>
      </c>
      <c r="AA97" s="4">
        <v>395</v>
      </c>
      <c r="AB97" s="4">
        <v>2</v>
      </c>
      <c r="AC97" s="4">
        <v>4</v>
      </c>
      <c r="AD97" s="4">
        <v>3</v>
      </c>
      <c r="AE97" s="4">
        <v>10</v>
      </c>
      <c r="AF97" s="4">
        <v>1</v>
      </c>
      <c r="AG97" s="4">
        <v>3</v>
      </c>
      <c r="AH97" s="4">
        <v>0</v>
      </c>
      <c r="AI97" s="4">
        <v>1</v>
      </c>
      <c r="AJ97" s="4">
        <v>2</v>
      </c>
      <c r="AK97" s="4">
        <v>5</v>
      </c>
      <c r="AL97" s="4">
        <v>0</v>
      </c>
      <c r="AM97" s="4">
        <v>2</v>
      </c>
      <c r="AN97" s="4">
        <v>0</v>
      </c>
      <c r="AO97" s="4">
        <v>0</v>
      </c>
      <c r="AP97" s="3" t="s">
        <v>58</v>
      </c>
      <c r="AQ97" s="3" t="s">
        <v>115</v>
      </c>
      <c r="AR97" s="6" t="str">
        <f>HYPERLINK("http://catalog.hathitrust.org/Record/000335221","HathiTrust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HYPERLINK("https://creighton-primo.hosted.exlibrisgroup.com/primo-explore/search?tab=default_tab&amp;search_scope=EVERYTHING&amp;vid=01CRU&amp;lang=en_US&amp;offset=0&amp;query=any,contains,991000747169702656","Catalog Record")</f>
        <v>Catalog Record</v>
      </c>
      <c r="AT97" s="6" t="str">
        <f>HYPERLINK("http://www.worldcat.org/oclc/11030357","WorldCat Record")</f>
        <v>WorldCat Record</v>
      </c>
    </row>
    <row r="98" spans="1:46" ht="40.5" customHeight="1" x14ac:dyDescent="0.25">
      <c r="A98" s="8" t="s">
        <v>58</v>
      </c>
      <c r="B98" s="2" t="s">
        <v>1364</v>
      </c>
      <c r="C98" s="2" t="s">
        <v>1365</v>
      </c>
      <c r="D98" s="2" t="s">
        <v>1366</v>
      </c>
      <c r="F98" s="3" t="s">
        <v>58</v>
      </c>
      <c r="G98" s="3" t="s">
        <v>59</v>
      </c>
      <c r="H98" s="3" t="s">
        <v>58</v>
      </c>
      <c r="I98" s="3" t="s">
        <v>115</v>
      </c>
      <c r="J98" s="3" t="s">
        <v>1367</v>
      </c>
      <c r="L98" s="2" t="s">
        <v>1368</v>
      </c>
      <c r="M98" s="3" t="s">
        <v>725</v>
      </c>
      <c r="O98" s="3" t="s">
        <v>64</v>
      </c>
      <c r="P98" s="3" t="s">
        <v>1355</v>
      </c>
      <c r="Q98" s="2" t="s">
        <v>1369</v>
      </c>
      <c r="R98" s="3" t="s">
        <v>1346</v>
      </c>
      <c r="S98" s="4">
        <v>57</v>
      </c>
      <c r="T98" s="4">
        <v>57</v>
      </c>
      <c r="U98" s="5" t="s">
        <v>1370</v>
      </c>
      <c r="V98" s="5" t="s">
        <v>1370</v>
      </c>
      <c r="W98" s="5" t="s">
        <v>1348</v>
      </c>
      <c r="X98" s="5" t="s">
        <v>1348</v>
      </c>
      <c r="Y98" s="4">
        <v>142</v>
      </c>
      <c r="Z98" s="4">
        <v>107</v>
      </c>
      <c r="AA98" s="4">
        <v>1372</v>
      </c>
      <c r="AB98" s="4">
        <v>1</v>
      </c>
      <c r="AC98" s="4">
        <v>18</v>
      </c>
      <c r="AD98" s="4">
        <v>2</v>
      </c>
      <c r="AE98" s="4">
        <v>39</v>
      </c>
      <c r="AF98" s="4">
        <v>1</v>
      </c>
      <c r="AG98" s="4">
        <v>12</v>
      </c>
      <c r="AH98" s="4">
        <v>0</v>
      </c>
      <c r="AI98" s="4">
        <v>6</v>
      </c>
      <c r="AJ98" s="4">
        <v>1</v>
      </c>
      <c r="AK98" s="4">
        <v>16</v>
      </c>
      <c r="AL98" s="4">
        <v>0</v>
      </c>
      <c r="AM98" s="4">
        <v>11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HYPERLINK("https://creighton-primo.hosted.exlibrisgroup.com/primo-explore/search?tab=default_tab&amp;search_scope=EVERYTHING&amp;vid=01CRU&amp;lang=en_US&amp;offset=0&amp;query=any,contains,991000914819702656","Catalog Record")</f>
        <v>Catalog Record</v>
      </c>
      <c r="AT98" s="6" t="str">
        <f>HYPERLINK("http://www.worldcat.org/oclc/9033464","WorldCat Record")</f>
        <v>WorldCat Record</v>
      </c>
    </row>
    <row r="99" spans="1:46" ht="40.5" customHeight="1" x14ac:dyDescent="0.25">
      <c r="A99" s="8" t="s">
        <v>58</v>
      </c>
      <c r="B99" s="2" t="s">
        <v>1371</v>
      </c>
      <c r="C99" s="2" t="s">
        <v>1372</v>
      </c>
      <c r="D99" s="2" t="s">
        <v>1366</v>
      </c>
      <c r="F99" s="3" t="s">
        <v>58</v>
      </c>
      <c r="G99" s="3" t="s">
        <v>59</v>
      </c>
      <c r="H99" s="3" t="s">
        <v>58</v>
      </c>
      <c r="I99" s="3" t="s">
        <v>115</v>
      </c>
      <c r="J99" s="3" t="s">
        <v>1367</v>
      </c>
      <c r="L99" s="2" t="s">
        <v>1373</v>
      </c>
      <c r="M99" s="3" t="s">
        <v>189</v>
      </c>
      <c r="N99" s="2" t="s">
        <v>1362</v>
      </c>
      <c r="O99" s="3" t="s">
        <v>64</v>
      </c>
      <c r="P99" s="3" t="s">
        <v>1374</v>
      </c>
      <c r="R99" s="3" t="s">
        <v>1346</v>
      </c>
      <c r="S99" s="4">
        <v>96</v>
      </c>
      <c r="T99" s="4">
        <v>96</v>
      </c>
      <c r="U99" s="5" t="s">
        <v>1375</v>
      </c>
      <c r="V99" s="5" t="s">
        <v>1375</v>
      </c>
      <c r="W99" s="5" t="s">
        <v>1376</v>
      </c>
      <c r="X99" s="5" t="s">
        <v>1376</v>
      </c>
      <c r="Y99" s="4">
        <v>156</v>
      </c>
      <c r="Z99" s="4">
        <v>108</v>
      </c>
      <c r="AA99" s="4">
        <v>1372</v>
      </c>
      <c r="AB99" s="4">
        <v>1</v>
      </c>
      <c r="AC99" s="4">
        <v>18</v>
      </c>
      <c r="AD99" s="4">
        <v>0</v>
      </c>
      <c r="AE99" s="4">
        <v>39</v>
      </c>
      <c r="AF99" s="4">
        <v>0</v>
      </c>
      <c r="AG99" s="4">
        <v>12</v>
      </c>
      <c r="AH99" s="4">
        <v>0</v>
      </c>
      <c r="AI99" s="4">
        <v>6</v>
      </c>
      <c r="AJ99" s="4">
        <v>0</v>
      </c>
      <c r="AK99" s="4">
        <v>16</v>
      </c>
      <c r="AL99" s="4">
        <v>0</v>
      </c>
      <c r="AM99" s="4">
        <v>11</v>
      </c>
      <c r="AN99" s="4">
        <v>0</v>
      </c>
      <c r="AO99" s="4">
        <v>0</v>
      </c>
      <c r="AP99" s="3" t="s">
        <v>58</v>
      </c>
      <c r="AQ99" s="3" t="s">
        <v>58</v>
      </c>
      <c r="AS99" s="6" t="str">
        <f>HYPERLINK("https://creighton-primo.hosted.exlibrisgroup.com/primo-explore/search?tab=default_tab&amp;search_scope=EVERYTHING&amp;vid=01CRU&amp;lang=en_US&amp;offset=0&amp;query=any,contains,991001305969702656","Catalog Record")</f>
        <v>Catalog Record</v>
      </c>
      <c r="AT99" s="6" t="str">
        <f>HYPERLINK("http://www.worldcat.org/oclc/25662331","WorldCat Record")</f>
        <v>WorldCat Record</v>
      </c>
    </row>
    <row r="100" spans="1:46" ht="40.5" customHeight="1" x14ac:dyDescent="0.25">
      <c r="A100" s="8" t="s">
        <v>58</v>
      </c>
      <c r="B100" s="2" t="s">
        <v>1377</v>
      </c>
      <c r="C100" s="2" t="s">
        <v>1378</v>
      </c>
      <c r="D100" s="2" t="s">
        <v>1366</v>
      </c>
      <c r="F100" s="3" t="s">
        <v>58</v>
      </c>
      <c r="G100" s="3" t="s">
        <v>59</v>
      </c>
      <c r="H100" s="3" t="s">
        <v>58</v>
      </c>
      <c r="I100" s="3" t="s">
        <v>115</v>
      </c>
      <c r="J100" s="3" t="s">
        <v>1367</v>
      </c>
      <c r="L100" s="2" t="s">
        <v>1379</v>
      </c>
      <c r="M100" s="3" t="s">
        <v>173</v>
      </c>
      <c r="N100" s="2" t="s">
        <v>1354</v>
      </c>
      <c r="O100" s="3" t="s">
        <v>64</v>
      </c>
      <c r="P100" s="3" t="s">
        <v>1374</v>
      </c>
      <c r="R100" s="3" t="s">
        <v>1346</v>
      </c>
      <c r="S100" s="4">
        <v>203</v>
      </c>
      <c r="T100" s="4">
        <v>203</v>
      </c>
      <c r="U100" s="5" t="s">
        <v>1370</v>
      </c>
      <c r="V100" s="5" t="s">
        <v>1370</v>
      </c>
      <c r="W100" s="5" t="s">
        <v>1380</v>
      </c>
      <c r="X100" s="5" t="s">
        <v>1380</v>
      </c>
      <c r="Y100" s="4">
        <v>191</v>
      </c>
      <c r="Z100" s="4">
        <v>132</v>
      </c>
      <c r="AA100" s="4">
        <v>1372</v>
      </c>
      <c r="AB100" s="4">
        <v>1</v>
      </c>
      <c r="AC100" s="4">
        <v>18</v>
      </c>
      <c r="AD100" s="4">
        <v>1</v>
      </c>
      <c r="AE100" s="4">
        <v>39</v>
      </c>
      <c r="AF100" s="4">
        <v>0</v>
      </c>
      <c r="AG100" s="4">
        <v>12</v>
      </c>
      <c r="AH100" s="4">
        <v>0</v>
      </c>
      <c r="AI100" s="4">
        <v>6</v>
      </c>
      <c r="AJ100" s="4">
        <v>1</v>
      </c>
      <c r="AK100" s="4">
        <v>16</v>
      </c>
      <c r="AL100" s="4">
        <v>0</v>
      </c>
      <c r="AM100" s="4">
        <v>11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HYPERLINK("https://creighton-primo.hosted.exlibrisgroup.com/primo-explore/search?tab=default_tab&amp;search_scope=EVERYTHING&amp;vid=01CRU&amp;lang=en_US&amp;offset=0&amp;query=any,contains,991001400229702656","Catalog Record")</f>
        <v>Catalog Record</v>
      </c>
      <c r="AT100" s="6" t="str">
        <f>HYPERLINK("http://www.worldcat.org/oclc/31430586","WorldCat Record")</f>
        <v>WorldCat Record</v>
      </c>
    </row>
    <row r="101" spans="1:46" ht="40.5" customHeight="1" x14ac:dyDescent="0.25">
      <c r="A101" s="8" t="s">
        <v>58</v>
      </c>
      <c r="B101" s="2" t="s">
        <v>1381</v>
      </c>
      <c r="C101" s="2" t="s">
        <v>1382</v>
      </c>
      <c r="D101" s="2" t="s">
        <v>1383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1384</v>
      </c>
      <c r="M101" s="3" t="s">
        <v>725</v>
      </c>
      <c r="N101" s="2" t="s">
        <v>143</v>
      </c>
      <c r="O101" s="3" t="s">
        <v>64</v>
      </c>
      <c r="P101" s="3" t="s">
        <v>1355</v>
      </c>
      <c r="R101" s="3" t="s">
        <v>1346</v>
      </c>
      <c r="S101" s="4">
        <v>8</v>
      </c>
      <c r="T101" s="4">
        <v>8</v>
      </c>
      <c r="U101" s="5" t="s">
        <v>1385</v>
      </c>
      <c r="V101" s="5" t="s">
        <v>1385</v>
      </c>
      <c r="W101" s="5" t="s">
        <v>1386</v>
      </c>
      <c r="X101" s="5" t="s">
        <v>1386</v>
      </c>
      <c r="Y101" s="4">
        <v>34</v>
      </c>
      <c r="Z101" s="4">
        <v>30</v>
      </c>
      <c r="AA101" s="4">
        <v>241</v>
      </c>
      <c r="AB101" s="4">
        <v>1</v>
      </c>
      <c r="AC101" s="4">
        <v>4</v>
      </c>
      <c r="AD101" s="4">
        <v>0</v>
      </c>
      <c r="AE101" s="4">
        <v>7</v>
      </c>
      <c r="AF101" s="4">
        <v>0</v>
      </c>
      <c r="AG101" s="4">
        <v>1</v>
      </c>
      <c r="AH101" s="4">
        <v>0</v>
      </c>
      <c r="AI101" s="4">
        <v>2</v>
      </c>
      <c r="AJ101" s="4">
        <v>0</v>
      </c>
      <c r="AK101" s="4">
        <v>3</v>
      </c>
      <c r="AL101" s="4">
        <v>0</v>
      </c>
      <c r="AM101" s="4">
        <v>2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HYPERLINK("https://creighton-primo.hosted.exlibrisgroup.com/primo-explore/search?tab=default_tab&amp;search_scope=EVERYTHING&amp;vid=01CRU&amp;lang=en_US&amp;offset=0&amp;query=any,contains,991000522669702656","Catalog Record")</f>
        <v>Catalog Record</v>
      </c>
      <c r="AT101" s="6" t="str">
        <f>HYPERLINK("http://www.worldcat.org/oclc/7716677","WorldCat Record")</f>
        <v>WorldCat Record</v>
      </c>
    </row>
    <row r="102" spans="1:46" ht="40.5" customHeight="1" x14ac:dyDescent="0.25">
      <c r="A102" s="8" t="s">
        <v>58</v>
      </c>
      <c r="B102" s="2" t="s">
        <v>1387</v>
      </c>
      <c r="C102" s="2" t="s">
        <v>1388</v>
      </c>
      <c r="D102" s="2" t="s">
        <v>1389</v>
      </c>
      <c r="F102" s="3" t="s">
        <v>58</v>
      </c>
      <c r="G102" s="3" t="s">
        <v>59</v>
      </c>
      <c r="H102" s="3" t="s">
        <v>58</v>
      </c>
      <c r="I102" s="3" t="s">
        <v>115</v>
      </c>
      <c r="J102" s="3" t="s">
        <v>60</v>
      </c>
      <c r="K102" s="2" t="s">
        <v>1390</v>
      </c>
      <c r="L102" s="2" t="s">
        <v>1391</v>
      </c>
      <c r="M102" s="3" t="s">
        <v>1392</v>
      </c>
      <c r="O102" s="3" t="s">
        <v>64</v>
      </c>
      <c r="P102" s="3" t="s">
        <v>1355</v>
      </c>
      <c r="Q102" s="2" t="s">
        <v>1393</v>
      </c>
      <c r="R102" s="3" t="s">
        <v>1346</v>
      </c>
      <c r="S102" s="4">
        <v>11</v>
      </c>
      <c r="T102" s="4">
        <v>11</v>
      </c>
      <c r="U102" s="5" t="s">
        <v>1394</v>
      </c>
      <c r="V102" s="5" t="s">
        <v>1394</v>
      </c>
      <c r="W102" s="5" t="s">
        <v>1348</v>
      </c>
      <c r="X102" s="5" t="s">
        <v>1348</v>
      </c>
      <c r="Y102" s="4">
        <v>9</v>
      </c>
      <c r="Z102" s="4">
        <v>9</v>
      </c>
      <c r="AA102" s="4">
        <v>77</v>
      </c>
      <c r="AB102" s="4">
        <v>1</v>
      </c>
      <c r="AC102" s="4">
        <v>1</v>
      </c>
      <c r="AD102" s="4">
        <v>0</v>
      </c>
      <c r="AE102" s="4">
        <v>1</v>
      </c>
      <c r="AF102" s="4">
        <v>0</v>
      </c>
      <c r="AG102" s="4">
        <v>1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HYPERLINK("https://creighton-primo.hosted.exlibrisgroup.com/primo-explore/search?tab=default_tab&amp;search_scope=EVERYTHING&amp;vid=01CRU&amp;lang=en_US&amp;offset=0&amp;query=any,contains,991000914019702656","Catalog Record")</f>
        <v>Catalog Record</v>
      </c>
      <c r="AT102" s="6" t="str">
        <f>HYPERLINK("http://www.worldcat.org/oclc/8688632","WorldCat Record")</f>
        <v>WorldCat Record</v>
      </c>
    </row>
    <row r="103" spans="1:46" ht="40.5" customHeight="1" x14ac:dyDescent="0.25">
      <c r="A103" s="8" t="s">
        <v>58</v>
      </c>
      <c r="B103" s="2" t="s">
        <v>1395</v>
      </c>
      <c r="C103" s="2" t="s">
        <v>1396</v>
      </c>
      <c r="D103" s="2" t="s">
        <v>1397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1398</v>
      </c>
      <c r="L103" s="2" t="s">
        <v>1399</v>
      </c>
      <c r="M103" s="3" t="s">
        <v>725</v>
      </c>
      <c r="O103" s="3" t="s">
        <v>64</v>
      </c>
      <c r="P103" s="3" t="s">
        <v>1355</v>
      </c>
      <c r="R103" s="3" t="s">
        <v>1346</v>
      </c>
      <c r="S103" s="4">
        <v>19</v>
      </c>
      <c r="T103" s="4">
        <v>19</v>
      </c>
      <c r="U103" s="5" t="s">
        <v>1356</v>
      </c>
      <c r="V103" s="5" t="s">
        <v>1356</v>
      </c>
      <c r="W103" s="5" t="s">
        <v>1348</v>
      </c>
      <c r="X103" s="5" t="s">
        <v>1348</v>
      </c>
      <c r="Y103" s="4">
        <v>72</v>
      </c>
      <c r="Z103" s="4">
        <v>63</v>
      </c>
      <c r="AA103" s="4">
        <v>63</v>
      </c>
      <c r="AB103" s="4">
        <v>1</v>
      </c>
      <c r="AC103" s="4">
        <v>1</v>
      </c>
      <c r="AD103" s="4">
        <v>2</v>
      </c>
      <c r="AE103" s="4">
        <v>2</v>
      </c>
      <c r="AF103" s="4">
        <v>0</v>
      </c>
      <c r="AG103" s="4">
        <v>0</v>
      </c>
      <c r="AH103" s="4">
        <v>0</v>
      </c>
      <c r="AI103" s="4">
        <v>0</v>
      </c>
      <c r="AJ103" s="4">
        <v>2</v>
      </c>
      <c r="AK103" s="4">
        <v>2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HYPERLINK("https://creighton-primo.hosted.exlibrisgroup.com/primo-explore/search?tab=default_tab&amp;search_scope=EVERYTHING&amp;vid=01CRU&amp;lang=en_US&amp;offset=0&amp;query=any,contains,991000913629702656","Catalog Record")</f>
        <v>Catalog Record</v>
      </c>
      <c r="AT103" s="6" t="str">
        <f>HYPERLINK("http://www.worldcat.org/oclc/7577473","WorldCat Record")</f>
        <v>WorldCat Record</v>
      </c>
    </row>
    <row r="104" spans="1:46" ht="40.5" customHeight="1" x14ac:dyDescent="0.25">
      <c r="A104" s="8" t="s">
        <v>58</v>
      </c>
      <c r="B104" s="2" t="s">
        <v>1400</v>
      </c>
      <c r="C104" s="2" t="s">
        <v>1401</v>
      </c>
      <c r="D104" s="2" t="s">
        <v>1402</v>
      </c>
      <c r="F104" s="3" t="s">
        <v>58</v>
      </c>
      <c r="G104" s="3" t="s">
        <v>59</v>
      </c>
      <c r="H104" s="3" t="s">
        <v>58</v>
      </c>
      <c r="I104" s="3" t="s">
        <v>115</v>
      </c>
      <c r="J104" s="3" t="s">
        <v>60</v>
      </c>
      <c r="K104" s="2" t="s">
        <v>1403</v>
      </c>
      <c r="L104" s="2" t="s">
        <v>1404</v>
      </c>
      <c r="M104" s="3" t="s">
        <v>142</v>
      </c>
      <c r="N104" s="2" t="s">
        <v>1405</v>
      </c>
      <c r="O104" s="3" t="s">
        <v>64</v>
      </c>
      <c r="P104" s="3" t="s">
        <v>1406</v>
      </c>
      <c r="R104" s="3" t="s">
        <v>1346</v>
      </c>
      <c r="S104" s="4">
        <v>23</v>
      </c>
      <c r="T104" s="4">
        <v>23</v>
      </c>
      <c r="U104" s="5" t="s">
        <v>1407</v>
      </c>
      <c r="V104" s="5" t="s">
        <v>1407</v>
      </c>
      <c r="W104" s="5" t="s">
        <v>1408</v>
      </c>
      <c r="X104" s="5" t="s">
        <v>1408</v>
      </c>
      <c r="Y104" s="4">
        <v>299</v>
      </c>
      <c r="Z104" s="4">
        <v>215</v>
      </c>
      <c r="AA104" s="4">
        <v>294</v>
      </c>
      <c r="AB104" s="4">
        <v>1</v>
      </c>
      <c r="AC104" s="4">
        <v>1</v>
      </c>
      <c r="AD104" s="4">
        <v>4</v>
      </c>
      <c r="AE104" s="4">
        <v>5</v>
      </c>
      <c r="AF104" s="4">
        <v>1</v>
      </c>
      <c r="AG104" s="4">
        <v>2</v>
      </c>
      <c r="AH104" s="4">
        <v>2</v>
      </c>
      <c r="AI104" s="4">
        <v>2</v>
      </c>
      <c r="AJ104" s="4">
        <v>1</v>
      </c>
      <c r="AK104" s="4">
        <v>1</v>
      </c>
      <c r="AL104" s="4">
        <v>0</v>
      </c>
      <c r="AM104" s="4">
        <v>0</v>
      </c>
      <c r="AN104" s="4">
        <v>0</v>
      </c>
      <c r="AO104" s="4">
        <v>0</v>
      </c>
      <c r="AP104" s="3" t="s">
        <v>58</v>
      </c>
      <c r="AQ104" s="3" t="s">
        <v>115</v>
      </c>
      <c r="AR104" s="6" t="str">
        <f>HYPERLINK("http://catalog.hathitrust.org/Record/002499333","HathiTrust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HYPERLINK("https://creighton-primo.hosted.exlibrisgroup.com/primo-explore/search?tab=default_tab&amp;search_scope=EVERYTHING&amp;vid=01CRU&amp;lang=en_US&amp;offset=0&amp;query=any,contains,991001032679702656","Catalog Record")</f>
        <v>Catalog Record</v>
      </c>
      <c r="AT104" s="6" t="str">
        <f>HYPERLINK("http://www.worldcat.org/oclc/24106311","WorldCat Record")</f>
        <v>WorldCat Record</v>
      </c>
    </row>
    <row r="105" spans="1:46" ht="40.5" customHeight="1" x14ac:dyDescent="0.25">
      <c r="A105" s="8" t="s">
        <v>58</v>
      </c>
      <c r="B105" s="2" t="s">
        <v>1409</v>
      </c>
      <c r="C105" s="2" t="s">
        <v>1410</v>
      </c>
      <c r="D105" s="2" t="s">
        <v>1411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1412</v>
      </c>
      <c r="L105" s="2" t="s">
        <v>1413</v>
      </c>
      <c r="M105" s="3" t="s">
        <v>1414</v>
      </c>
      <c r="N105" s="2" t="s">
        <v>1415</v>
      </c>
      <c r="O105" s="3" t="s">
        <v>64</v>
      </c>
      <c r="P105" s="3" t="s">
        <v>1355</v>
      </c>
      <c r="R105" s="3" t="s">
        <v>1346</v>
      </c>
      <c r="S105" s="4">
        <v>3</v>
      </c>
      <c r="T105" s="4">
        <v>3</v>
      </c>
      <c r="U105" s="5" t="s">
        <v>1416</v>
      </c>
      <c r="V105" s="5" t="s">
        <v>1416</v>
      </c>
      <c r="W105" s="5" t="s">
        <v>1357</v>
      </c>
      <c r="X105" s="5" t="s">
        <v>1357</v>
      </c>
      <c r="Y105" s="4">
        <v>164</v>
      </c>
      <c r="Z105" s="4">
        <v>149</v>
      </c>
      <c r="AA105" s="4">
        <v>151</v>
      </c>
      <c r="AB105" s="4">
        <v>2</v>
      </c>
      <c r="AC105" s="4">
        <v>2</v>
      </c>
      <c r="AD105" s="4">
        <v>2</v>
      </c>
      <c r="AE105" s="4">
        <v>2</v>
      </c>
      <c r="AF105" s="4">
        <v>1</v>
      </c>
      <c r="AG105" s="4">
        <v>1</v>
      </c>
      <c r="AH105" s="4">
        <v>0</v>
      </c>
      <c r="AI105" s="4">
        <v>0</v>
      </c>
      <c r="AJ105" s="4">
        <v>0</v>
      </c>
      <c r="AK105" s="4">
        <v>0</v>
      </c>
      <c r="AL105" s="4">
        <v>1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115</v>
      </c>
      <c r="AR105" s="6" t="str">
        <f>HYPERLINK("http://catalog.hathitrust.org/Record/000286238","HathiTrust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HYPERLINK("https://creighton-primo.hosted.exlibrisgroup.com/primo-explore/search?tab=default_tab&amp;search_scope=EVERYTHING&amp;vid=01CRU&amp;lang=en_US&amp;offset=0&amp;query=any,contains,991000747219702656","Catalog Record")</f>
        <v>Catalog Record</v>
      </c>
      <c r="AT105" s="6" t="str">
        <f>HYPERLINK("http://www.worldcat.org/oclc/9757786","WorldCat Record")</f>
        <v>WorldCat Record</v>
      </c>
    </row>
    <row r="106" spans="1:46" ht="40.5" customHeight="1" x14ac:dyDescent="0.25">
      <c r="A106" s="8" t="s">
        <v>58</v>
      </c>
      <c r="B106" s="2" t="s">
        <v>1417</v>
      </c>
      <c r="C106" s="2" t="s">
        <v>1418</v>
      </c>
      <c r="D106" s="2" t="s">
        <v>1419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L106" s="2" t="s">
        <v>1420</v>
      </c>
      <c r="M106" s="3" t="s">
        <v>365</v>
      </c>
      <c r="N106" s="2" t="s">
        <v>221</v>
      </c>
      <c r="O106" s="3" t="s">
        <v>64</v>
      </c>
      <c r="P106" s="3" t="s">
        <v>1421</v>
      </c>
      <c r="R106" s="3" t="s">
        <v>1346</v>
      </c>
      <c r="S106" s="4">
        <v>11</v>
      </c>
      <c r="T106" s="4">
        <v>11</v>
      </c>
      <c r="U106" s="5" t="s">
        <v>1422</v>
      </c>
      <c r="V106" s="5" t="s">
        <v>1422</v>
      </c>
      <c r="W106" s="5" t="s">
        <v>1423</v>
      </c>
      <c r="X106" s="5" t="s">
        <v>1423</v>
      </c>
      <c r="Y106" s="4">
        <v>209</v>
      </c>
      <c r="Z106" s="4">
        <v>112</v>
      </c>
      <c r="AA106" s="4">
        <v>113</v>
      </c>
      <c r="AB106" s="4">
        <v>1</v>
      </c>
      <c r="AC106" s="4">
        <v>1</v>
      </c>
      <c r="AD106" s="4">
        <v>3</v>
      </c>
      <c r="AE106" s="4">
        <v>3</v>
      </c>
      <c r="AF106" s="4">
        <v>2</v>
      </c>
      <c r="AG106" s="4">
        <v>2</v>
      </c>
      <c r="AH106" s="4">
        <v>0</v>
      </c>
      <c r="AI106" s="4">
        <v>0</v>
      </c>
      <c r="AJ106" s="4">
        <v>1</v>
      </c>
      <c r="AK106" s="4">
        <v>1</v>
      </c>
      <c r="AL106" s="4">
        <v>0</v>
      </c>
      <c r="AM106" s="4">
        <v>0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HYPERLINK("https://creighton-primo.hosted.exlibrisgroup.com/primo-explore/search?tab=default_tab&amp;search_scope=EVERYTHING&amp;vid=01CRU&amp;lang=en_US&amp;offset=0&amp;query=any,contains,991001047369702656","Catalog Record")</f>
        <v>Catalog Record</v>
      </c>
      <c r="AT106" s="6" t="str">
        <f>HYPERLINK("http://www.worldcat.org/oclc/36719740","WorldCat Record")</f>
        <v>WorldCat Record</v>
      </c>
    </row>
    <row r="107" spans="1:46" ht="40.5" customHeight="1" x14ac:dyDescent="0.25">
      <c r="A107" s="8" t="s">
        <v>58</v>
      </c>
      <c r="B107" s="2" t="s">
        <v>1424</v>
      </c>
      <c r="C107" s="2" t="s">
        <v>1425</v>
      </c>
      <c r="D107" s="2" t="s">
        <v>1426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1427</v>
      </c>
      <c r="L107" s="2" t="s">
        <v>1428</v>
      </c>
      <c r="M107" s="3" t="s">
        <v>189</v>
      </c>
      <c r="O107" s="3" t="s">
        <v>64</v>
      </c>
      <c r="P107" s="3" t="s">
        <v>1406</v>
      </c>
      <c r="R107" s="3" t="s">
        <v>1346</v>
      </c>
      <c r="S107" s="4">
        <v>4</v>
      </c>
      <c r="T107" s="4">
        <v>4</v>
      </c>
      <c r="U107" s="5" t="s">
        <v>1429</v>
      </c>
      <c r="V107" s="5" t="s">
        <v>1429</v>
      </c>
      <c r="W107" s="5" t="s">
        <v>1430</v>
      </c>
      <c r="X107" s="5" t="s">
        <v>1430</v>
      </c>
      <c r="Y107" s="4">
        <v>182</v>
      </c>
      <c r="Z107" s="4">
        <v>155</v>
      </c>
      <c r="AA107" s="4">
        <v>157</v>
      </c>
      <c r="AB107" s="4">
        <v>1</v>
      </c>
      <c r="AC107" s="4">
        <v>1</v>
      </c>
      <c r="AD107" s="4">
        <v>4</v>
      </c>
      <c r="AE107" s="4">
        <v>4</v>
      </c>
      <c r="AF107" s="4">
        <v>3</v>
      </c>
      <c r="AG107" s="4">
        <v>3</v>
      </c>
      <c r="AH107" s="4">
        <v>1</v>
      </c>
      <c r="AI107" s="4">
        <v>1</v>
      </c>
      <c r="AJ107" s="4">
        <v>2</v>
      </c>
      <c r="AK107" s="4">
        <v>2</v>
      </c>
      <c r="AL107" s="4">
        <v>0</v>
      </c>
      <c r="AM107" s="4">
        <v>0</v>
      </c>
      <c r="AN107" s="4">
        <v>0</v>
      </c>
      <c r="AO107" s="4">
        <v>0</v>
      </c>
      <c r="AP107" s="3" t="s">
        <v>58</v>
      </c>
      <c r="AQ107" s="3" t="s">
        <v>115</v>
      </c>
      <c r="AR107" s="6" t="str">
        <f>HYPERLINK("http://catalog.hathitrust.org/Record/002600353","HathiTrust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HYPERLINK("https://creighton-primo.hosted.exlibrisgroup.com/primo-explore/search?tab=default_tab&amp;search_scope=EVERYTHING&amp;vid=01CRU&amp;lang=en_US&amp;offset=0&amp;query=any,contains,991001297399702656","Catalog Record")</f>
        <v>Catalog Record</v>
      </c>
      <c r="AT107" s="6" t="str">
        <f>HYPERLINK("http://www.worldcat.org/oclc/24626753","WorldCat Record")</f>
        <v>WorldCat Record</v>
      </c>
    </row>
    <row r="108" spans="1:46" ht="40.5" customHeight="1" x14ac:dyDescent="0.25">
      <c r="A108" s="8" t="s">
        <v>58</v>
      </c>
      <c r="B108" s="2" t="s">
        <v>1431</v>
      </c>
      <c r="C108" s="2" t="s">
        <v>1432</v>
      </c>
      <c r="D108" s="2" t="s">
        <v>1433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L108" s="2" t="s">
        <v>1434</v>
      </c>
      <c r="M108" s="3" t="s">
        <v>1392</v>
      </c>
      <c r="N108" s="2" t="s">
        <v>936</v>
      </c>
      <c r="O108" s="3" t="s">
        <v>64</v>
      </c>
      <c r="P108" s="3" t="s">
        <v>144</v>
      </c>
      <c r="R108" s="3" t="s">
        <v>1346</v>
      </c>
      <c r="S108" s="4">
        <v>58</v>
      </c>
      <c r="T108" s="4">
        <v>58</v>
      </c>
      <c r="U108" s="5" t="s">
        <v>1435</v>
      </c>
      <c r="V108" s="5" t="s">
        <v>1435</v>
      </c>
      <c r="W108" s="5" t="s">
        <v>1436</v>
      </c>
      <c r="X108" s="5" t="s">
        <v>1436</v>
      </c>
      <c r="Y108" s="4">
        <v>140</v>
      </c>
      <c r="Z108" s="4">
        <v>100</v>
      </c>
      <c r="AA108" s="4">
        <v>170</v>
      </c>
      <c r="AB108" s="4">
        <v>1</v>
      </c>
      <c r="AC108" s="4">
        <v>2</v>
      </c>
      <c r="AD108" s="4">
        <v>2</v>
      </c>
      <c r="AE108" s="4">
        <v>5</v>
      </c>
      <c r="AF108" s="4">
        <v>1</v>
      </c>
      <c r="AG108" s="4">
        <v>1</v>
      </c>
      <c r="AH108" s="4">
        <v>1</v>
      </c>
      <c r="AI108" s="4">
        <v>1</v>
      </c>
      <c r="AJ108" s="4">
        <v>0</v>
      </c>
      <c r="AK108" s="4">
        <v>2</v>
      </c>
      <c r="AL108" s="4">
        <v>0</v>
      </c>
      <c r="AM108" s="4">
        <v>1</v>
      </c>
      <c r="AN108" s="4">
        <v>0</v>
      </c>
      <c r="AO108" s="4">
        <v>0</v>
      </c>
      <c r="AP108" s="3" t="s">
        <v>58</v>
      </c>
      <c r="AQ108" s="3" t="s">
        <v>115</v>
      </c>
      <c r="AR108" s="6" t="str">
        <f>HYPERLINK("http://catalog.hathitrust.org/Record/000204072","HathiTrust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HYPERLINK("https://creighton-primo.hosted.exlibrisgroup.com/primo-explore/search?tab=default_tab&amp;search_scope=EVERYTHING&amp;vid=01CRU&amp;lang=en_US&amp;offset=0&amp;query=any,contains,991000747259702656","Catalog Record")</f>
        <v>Catalog Record</v>
      </c>
      <c r="AT108" s="6" t="str">
        <f>HYPERLINK("http://www.worldcat.org/oclc/9110763","WorldCat Record")</f>
        <v>WorldCat Record</v>
      </c>
    </row>
    <row r="109" spans="1:46" ht="40.5" customHeight="1" x14ac:dyDescent="0.25">
      <c r="A109" s="8" t="s">
        <v>58</v>
      </c>
      <c r="B109" s="2" t="s">
        <v>1437</v>
      </c>
      <c r="C109" s="2" t="s">
        <v>1438</v>
      </c>
      <c r="D109" s="2" t="s">
        <v>1439</v>
      </c>
      <c r="F109" s="3" t="s">
        <v>58</v>
      </c>
      <c r="G109" s="3" t="s">
        <v>1440</v>
      </c>
      <c r="H109" s="3" t="s">
        <v>58</v>
      </c>
      <c r="I109" s="3" t="s">
        <v>115</v>
      </c>
      <c r="J109" s="3" t="s">
        <v>59</v>
      </c>
      <c r="L109" s="2" t="s">
        <v>1441</v>
      </c>
      <c r="M109" s="3" t="s">
        <v>306</v>
      </c>
      <c r="N109" s="2" t="s">
        <v>1442</v>
      </c>
      <c r="O109" s="3" t="s">
        <v>64</v>
      </c>
      <c r="P109" s="3" t="s">
        <v>65</v>
      </c>
      <c r="R109" s="3" t="s">
        <v>1346</v>
      </c>
      <c r="S109" s="4">
        <v>209</v>
      </c>
      <c r="T109" s="4">
        <v>209</v>
      </c>
      <c r="U109" s="5" t="s">
        <v>1443</v>
      </c>
      <c r="V109" s="5" t="s">
        <v>1443</v>
      </c>
      <c r="W109" s="5" t="s">
        <v>1444</v>
      </c>
      <c r="X109" s="5" t="s">
        <v>1444</v>
      </c>
      <c r="Y109" s="4">
        <v>765</v>
      </c>
      <c r="Z109" s="4">
        <v>561</v>
      </c>
      <c r="AA109" s="4">
        <v>1895</v>
      </c>
      <c r="AB109" s="4">
        <v>2</v>
      </c>
      <c r="AC109" s="4">
        <v>7</v>
      </c>
      <c r="AD109" s="4">
        <v>8</v>
      </c>
      <c r="AE109" s="4">
        <v>45</v>
      </c>
      <c r="AF109" s="4">
        <v>4</v>
      </c>
      <c r="AG109" s="4">
        <v>23</v>
      </c>
      <c r="AH109" s="4">
        <v>2</v>
      </c>
      <c r="AI109" s="4">
        <v>9</v>
      </c>
      <c r="AJ109" s="4">
        <v>4</v>
      </c>
      <c r="AK109" s="4">
        <v>20</v>
      </c>
      <c r="AL109" s="4">
        <v>0</v>
      </c>
      <c r="AM109" s="4">
        <v>2</v>
      </c>
      <c r="AN109" s="4">
        <v>0</v>
      </c>
      <c r="AO109" s="4">
        <v>1</v>
      </c>
      <c r="AP109" s="3" t="s">
        <v>58</v>
      </c>
      <c r="AQ109" s="3" t="s">
        <v>115</v>
      </c>
      <c r="AR109" s="6" t="str">
        <f>HYPERLINK("http://catalog.hathitrust.org/Record/003021364","HathiTrust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HYPERLINK("https://creighton-primo.hosted.exlibrisgroup.com/primo-explore/search?tab=default_tab&amp;search_scope=EVERYTHING&amp;vid=01CRU&amp;lang=en_US&amp;offset=0&amp;query=any,contains,991000841779702656","Catalog Record")</f>
        <v>Catalog Record</v>
      </c>
      <c r="AT109" s="6" t="str">
        <f>HYPERLINK("http://www.worldcat.org/oclc/33008049","WorldCat Record")</f>
        <v>WorldCat Record</v>
      </c>
    </row>
    <row r="110" spans="1:46" ht="40.5" customHeight="1" x14ac:dyDescent="0.25">
      <c r="A110" s="8" t="s">
        <v>58</v>
      </c>
      <c r="B110" s="2" t="s">
        <v>1445</v>
      </c>
      <c r="C110" s="2" t="s">
        <v>1446</v>
      </c>
      <c r="D110" s="2" t="s">
        <v>1447</v>
      </c>
      <c r="F110" s="3" t="s">
        <v>58</v>
      </c>
      <c r="G110" s="3" t="s">
        <v>59</v>
      </c>
      <c r="H110" s="3" t="s">
        <v>58</v>
      </c>
      <c r="I110" s="3" t="s">
        <v>115</v>
      </c>
      <c r="J110" s="3" t="s">
        <v>60</v>
      </c>
      <c r="K110" s="2" t="s">
        <v>1448</v>
      </c>
      <c r="L110" s="2" t="s">
        <v>1449</v>
      </c>
      <c r="M110" s="3" t="s">
        <v>290</v>
      </c>
      <c r="N110" s="2" t="s">
        <v>1450</v>
      </c>
      <c r="O110" s="3" t="s">
        <v>64</v>
      </c>
      <c r="P110" s="3" t="s">
        <v>1355</v>
      </c>
      <c r="R110" s="3" t="s">
        <v>1346</v>
      </c>
      <c r="S110" s="4">
        <v>42</v>
      </c>
      <c r="T110" s="4">
        <v>42</v>
      </c>
      <c r="U110" s="5" t="s">
        <v>1451</v>
      </c>
      <c r="V110" s="5" t="s">
        <v>1451</v>
      </c>
      <c r="W110" s="5" t="s">
        <v>1452</v>
      </c>
      <c r="X110" s="5" t="s">
        <v>1452</v>
      </c>
      <c r="Y110" s="4">
        <v>234</v>
      </c>
      <c r="Z110" s="4">
        <v>176</v>
      </c>
      <c r="AA110" s="4">
        <v>294</v>
      </c>
      <c r="AB110" s="4">
        <v>1</v>
      </c>
      <c r="AC110" s="4">
        <v>1</v>
      </c>
      <c r="AD110" s="4">
        <v>3</v>
      </c>
      <c r="AE110" s="4">
        <v>5</v>
      </c>
      <c r="AF110" s="4">
        <v>2</v>
      </c>
      <c r="AG110" s="4">
        <v>2</v>
      </c>
      <c r="AH110" s="4">
        <v>1</v>
      </c>
      <c r="AI110" s="4">
        <v>2</v>
      </c>
      <c r="AJ110" s="4">
        <v>0</v>
      </c>
      <c r="AK110" s="4">
        <v>1</v>
      </c>
      <c r="AL110" s="4">
        <v>0</v>
      </c>
      <c r="AM110" s="4">
        <v>0</v>
      </c>
      <c r="AN110" s="4">
        <v>0</v>
      </c>
      <c r="AO110" s="4">
        <v>0</v>
      </c>
      <c r="AP110" s="3" t="s">
        <v>58</v>
      </c>
      <c r="AQ110" s="3" t="s">
        <v>115</v>
      </c>
      <c r="AR110" s="6" t="str">
        <f>HYPERLINK("http://catalog.hathitrust.org/Record/000906549","HathiTrust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HYPERLINK("https://creighton-primo.hosted.exlibrisgroup.com/primo-explore/search?tab=default_tab&amp;search_scope=EVERYTHING&amp;vid=01CRU&amp;lang=en_US&amp;offset=0&amp;query=any,contains,991000764269702656","Catalog Record")</f>
        <v>Catalog Record</v>
      </c>
      <c r="AT110" s="6" t="str">
        <f>HYPERLINK("http://www.worldcat.org/oclc/16682259","WorldCat Record")</f>
        <v>WorldCat Record</v>
      </c>
    </row>
    <row r="111" spans="1:46" ht="40.5" customHeight="1" x14ac:dyDescent="0.25">
      <c r="A111" s="8" t="s">
        <v>58</v>
      </c>
      <c r="B111" s="2" t="s">
        <v>1453</v>
      </c>
      <c r="C111" s="2" t="s">
        <v>1454</v>
      </c>
      <c r="D111" s="2" t="s">
        <v>1455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1456</v>
      </c>
      <c r="L111" s="2" t="s">
        <v>1457</v>
      </c>
      <c r="M111" s="3" t="s">
        <v>515</v>
      </c>
      <c r="N111" s="2" t="s">
        <v>1458</v>
      </c>
      <c r="O111" s="3" t="s">
        <v>64</v>
      </c>
      <c r="P111" s="3" t="s">
        <v>1355</v>
      </c>
      <c r="R111" s="3" t="s">
        <v>1346</v>
      </c>
      <c r="S111" s="4">
        <v>5</v>
      </c>
      <c r="T111" s="4">
        <v>5</v>
      </c>
      <c r="U111" s="5" t="s">
        <v>1459</v>
      </c>
      <c r="V111" s="5" t="s">
        <v>1459</v>
      </c>
      <c r="W111" s="5" t="s">
        <v>1436</v>
      </c>
      <c r="X111" s="5" t="s">
        <v>1436</v>
      </c>
      <c r="Y111" s="4">
        <v>243</v>
      </c>
      <c r="Z111" s="4">
        <v>207</v>
      </c>
      <c r="AA111" s="4">
        <v>209</v>
      </c>
      <c r="AB111" s="4">
        <v>1</v>
      </c>
      <c r="AC111" s="4">
        <v>1</v>
      </c>
      <c r="AD111" s="4">
        <v>4</v>
      </c>
      <c r="AE111" s="4">
        <v>4</v>
      </c>
      <c r="AF111" s="4">
        <v>2</v>
      </c>
      <c r="AG111" s="4">
        <v>2</v>
      </c>
      <c r="AH111" s="4">
        <v>0</v>
      </c>
      <c r="AI111" s="4">
        <v>0</v>
      </c>
      <c r="AJ111" s="4">
        <v>3</v>
      </c>
      <c r="AK111" s="4">
        <v>3</v>
      </c>
      <c r="AL111" s="4">
        <v>0</v>
      </c>
      <c r="AM111" s="4">
        <v>0</v>
      </c>
      <c r="AN111" s="4">
        <v>0</v>
      </c>
      <c r="AO111" s="4">
        <v>0</v>
      </c>
      <c r="AP111" s="3" t="s">
        <v>58</v>
      </c>
      <c r="AQ111" s="3" t="s">
        <v>115</v>
      </c>
      <c r="AR111" s="6" t="str">
        <f>HYPERLINK("http://catalog.hathitrust.org/Record/000427080","HathiTrust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HYPERLINK("https://creighton-primo.hosted.exlibrisgroup.com/primo-explore/search?tab=default_tab&amp;search_scope=EVERYTHING&amp;vid=01CRU&amp;lang=en_US&amp;offset=0&amp;query=any,contains,991000747329702656","Catalog Record")</f>
        <v>Catalog Record</v>
      </c>
      <c r="AT111" s="6" t="str">
        <f>HYPERLINK("http://www.worldcat.org/oclc/12558387","WorldCat Record")</f>
        <v>WorldCat Record</v>
      </c>
    </row>
    <row r="112" spans="1:46" ht="40.5" customHeight="1" x14ac:dyDescent="0.25">
      <c r="A112" s="8" t="s">
        <v>58</v>
      </c>
      <c r="B112" s="2" t="s">
        <v>1460</v>
      </c>
      <c r="C112" s="2" t="s">
        <v>1461</v>
      </c>
      <c r="D112" s="2" t="s">
        <v>1462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1463</v>
      </c>
      <c r="L112" s="2" t="s">
        <v>1464</v>
      </c>
      <c r="M112" s="3" t="s">
        <v>1177</v>
      </c>
      <c r="N112" s="2" t="s">
        <v>143</v>
      </c>
      <c r="O112" s="3" t="s">
        <v>64</v>
      </c>
      <c r="P112" s="3" t="s">
        <v>685</v>
      </c>
      <c r="R112" s="3" t="s">
        <v>1346</v>
      </c>
      <c r="S112" s="4">
        <v>22</v>
      </c>
      <c r="T112" s="4">
        <v>22</v>
      </c>
      <c r="U112" s="5" t="s">
        <v>1465</v>
      </c>
      <c r="V112" s="5" t="s">
        <v>1465</v>
      </c>
      <c r="W112" s="5" t="s">
        <v>1348</v>
      </c>
      <c r="X112" s="5" t="s">
        <v>1348</v>
      </c>
      <c r="Y112" s="4">
        <v>22</v>
      </c>
      <c r="Z112" s="4">
        <v>18</v>
      </c>
      <c r="AA112" s="4">
        <v>119</v>
      </c>
      <c r="AB112" s="4">
        <v>1</v>
      </c>
      <c r="AC112" s="4">
        <v>3</v>
      </c>
      <c r="AD112" s="4">
        <v>0</v>
      </c>
      <c r="AE112" s="4">
        <v>2</v>
      </c>
      <c r="AF112" s="4">
        <v>0</v>
      </c>
      <c r="AG112" s="4">
        <v>1</v>
      </c>
      <c r="AH112" s="4">
        <v>0</v>
      </c>
      <c r="AI112" s="4">
        <v>0</v>
      </c>
      <c r="AJ112" s="4">
        <v>0</v>
      </c>
      <c r="AK112" s="4">
        <v>1</v>
      </c>
      <c r="AL112" s="4">
        <v>0</v>
      </c>
      <c r="AM112" s="4">
        <v>1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HYPERLINK("https://creighton-primo.hosted.exlibrisgroup.com/primo-explore/search?tab=default_tab&amp;search_scope=EVERYTHING&amp;vid=01CRU&amp;lang=en_US&amp;offset=0&amp;query=any,contains,991000917189702656","Catalog Record")</f>
        <v>Catalog Record</v>
      </c>
      <c r="AT112" s="6" t="str">
        <f>HYPERLINK("http://www.worldcat.org/oclc/14548861","WorldCat Record")</f>
        <v>WorldCat Record</v>
      </c>
    </row>
    <row r="113" spans="1:46" ht="40.5" customHeight="1" x14ac:dyDescent="0.25">
      <c r="A113" s="8" t="s">
        <v>58</v>
      </c>
      <c r="B113" s="2" t="s">
        <v>1466</v>
      </c>
      <c r="C113" s="2" t="s">
        <v>1467</v>
      </c>
      <c r="D113" s="2" t="s">
        <v>1468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L113" s="2" t="s">
        <v>1469</v>
      </c>
      <c r="M113" s="3" t="s">
        <v>142</v>
      </c>
      <c r="O113" s="3" t="s">
        <v>64</v>
      </c>
      <c r="P113" s="3" t="s">
        <v>1355</v>
      </c>
      <c r="R113" s="3" t="s">
        <v>1346</v>
      </c>
      <c r="S113" s="4">
        <v>65</v>
      </c>
      <c r="T113" s="4">
        <v>65</v>
      </c>
      <c r="U113" s="5" t="s">
        <v>1470</v>
      </c>
      <c r="V113" s="5" t="s">
        <v>1470</v>
      </c>
      <c r="W113" s="5" t="s">
        <v>1471</v>
      </c>
      <c r="X113" s="5" t="s">
        <v>1471</v>
      </c>
      <c r="Y113" s="4">
        <v>153</v>
      </c>
      <c r="Z113" s="4">
        <v>98</v>
      </c>
      <c r="AA113" s="4">
        <v>105</v>
      </c>
      <c r="AB113" s="4">
        <v>1</v>
      </c>
      <c r="AC113" s="4">
        <v>1</v>
      </c>
      <c r="AD113" s="4">
        <v>2</v>
      </c>
      <c r="AE113" s="4">
        <v>2</v>
      </c>
      <c r="AF113" s="4">
        <v>0</v>
      </c>
      <c r="AG113" s="4">
        <v>0</v>
      </c>
      <c r="AH113" s="4">
        <v>0</v>
      </c>
      <c r="AI113" s="4">
        <v>0</v>
      </c>
      <c r="AJ113" s="4">
        <v>2</v>
      </c>
      <c r="AK113" s="4">
        <v>2</v>
      </c>
      <c r="AL113" s="4">
        <v>0</v>
      </c>
      <c r="AM113" s="4">
        <v>0</v>
      </c>
      <c r="AN113" s="4">
        <v>0</v>
      </c>
      <c r="AO113" s="4">
        <v>0</v>
      </c>
      <c r="AP113" s="3" t="s">
        <v>58</v>
      </c>
      <c r="AQ113" s="3" t="s">
        <v>115</v>
      </c>
      <c r="AR113" s="6" t="str">
        <f>HYPERLINK("http://catalog.hathitrust.org/Record/002441641","HathiTrust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HYPERLINK("https://creighton-primo.hosted.exlibrisgroup.com/primo-explore/search?tab=default_tab&amp;search_scope=EVERYTHING&amp;vid=01CRU&amp;lang=en_US&amp;offset=0&amp;query=any,contains,991001016879702656","Catalog Record")</f>
        <v>Catalog Record</v>
      </c>
      <c r="AT113" s="6" t="str">
        <f>HYPERLINK("http://www.worldcat.org/oclc/22813584","WorldCat Record")</f>
        <v>WorldCat Record</v>
      </c>
    </row>
    <row r="114" spans="1:46" ht="40.5" customHeight="1" x14ac:dyDescent="0.25">
      <c r="A114" s="8" t="s">
        <v>58</v>
      </c>
      <c r="B114" s="2" t="s">
        <v>1472</v>
      </c>
      <c r="C114" s="2" t="s">
        <v>1473</v>
      </c>
      <c r="D114" s="2" t="s">
        <v>1474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L114" s="2" t="s">
        <v>1475</v>
      </c>
      <c r="M114" s="3" t="s">
        <v>892</v>
      </c>
      <c r="N114" s="2" t="s">
        <v>936</v>
      </c>
      <c r="O114" s="3" t="s">
        <v>64</v>
      </c>
      <c r="P114" s="3" t="s">
        <v>1406</v>
      </c>
      <c r="R114" s="3" t="s">
        <v>1346</v>
      </c>
      <c r="S114" s="4">
        <v>16</v>
      </c>
      <c r="T114" s="4">
        <v>16</v>
      </c>
      <c r="U114" s="5" t="s">
        <v>1476</v>
      </c>
      <c r="V114" s="5" t="s">
        <v>1476</v>
      </c>
      <c r="W114" s="5" t="s">
        <v>1477</v>
      </c>
      <c r="X114" s="5" t="s">
        <v>1477</v>
      </c>
      <c r="Y114" s="4">
        <v>292</v>
      </c>
      <c r="Z114" s="4">
        <v>163</v>
      </c>
      <c r="AA114" s="4">
        <v>217</v>
      </c>
      <c r="AB114" s="4">
        <v>1</v>
      </c>
      <c r="AC114" s="4">
        <v>1</v>
      </c>
      <c r="AD114" s="4">
        <v>5</v>
      </c>
      <c r="AE114" s="4">
        <v>7</v>
      </c>
      <c r="AF114" s="4">
        <v>1</v>
      </c>
      <c r="AG114" s="4">
        <v>2</v>
      </c>
      <c r="AH114" s="4">
        <v>2</v>
      </c>
      <c r="AI114" s="4">
        <v>3</v>
      </c>
      <c r="AJ114" s="4">
        <v>3</v>
      </c>
      <c r="AK114" s="4">
        <v>4</v>
      </c>
      <c r="AL114" s="4">
        <v>0</v>
      </c>
      <c r="AM114" s="4">
        <v>0</v>
      </c>
      <c r="AN114" s="4">
        <v>0</v>
      </c>
      <c r="AO114" s="4">
        <v>0</v>
      </c>
      <c r="AP114" s="3" t="s">
        <v>58</v>
      </c>
      <c r="AQ114" s="3" t="s">
        <v>115</v>
      </c>
      <c r="AR114" s="6" t="str">
        <f>HYPERLINK("http://catalog.hathitrust.org/Record/003951115","HathiTrust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HYPERLINK("https://creighton-primo.hosted.exlibrisgroup.com/primo-explore/search?tab=default_tab&amp;search_scope=EVERYTHING&amp;vid=01CRU&amp;lang=en_US&amp;offset=0&amp;query=any,contains,991000324069702656","Catalog Record")</f>
        <v>Catalog Record</v>
      </c>
      <c r="AT114" s="6" t="str">
        <f>HYPERLINK("http://www.worldcat.org/oclc/37180371","WorldCat Record")</f>
        <v>WorldCat Record</v>
      </c>
    </row>
    <row r="115" spans="1:46" ht="40.5" customHeight="1" x14ac:dyDescent="0.25">
      <c r="A115" s="8" t="s">
        <v>58</v>
      </c>
      <c r="B115" s="2" t="s">
        <v>1478</v>
      </c>
      <c r="C115" s="2" t="s">
        <v>1479</v>
      </c>
      <c r="D115" s="2" t="s">
        <v>1480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1481</v>
      </c>
      <c r="M115" s="3" t="s">
        <v>468</v>
      </c>
      <c r="N115" s="2" t="s">
        <v>221</v>
      </c>
      <c r="O115" s="3" t="s">
        <v>64</v>
      </c>
      <c r="P115" s="3" t="s">
        <v>144</v>
      </c>
      <c r="R115" s="3" t="s">
        <v>1346</v>
      </c>
      <c r="S115" s="4">
        <v>9</v>
      </c>
      <c r="T115" s="4">
        <v>9</v>
      </c>
      <c r="U115" s="5" t="s">
        <v>1482</v>
      </c>
      <c r="V115" s="5" t="s">
        <v>1482</v>
      </c>
      <c r="W115" s="5" t="s">
        <v>1483</v>
      </c>
      <c r="X115" s="5" t="s">
        <v>1483</v>
      </c>
      <c r="Y115" s="4">
        <v>224</v>
      </c>
      <c r="Z115" s="4">
        <v>127</v>
      </c>
      <c r="AA115" s="4">
        <v>296</v>
      </c>
      <c r="AB115" s="4">
        <v>1</v>
      </c>
      <c r="AC115" s="4">
        <v>2</v>
      </c>
      <c r="AD115" s="4">
        <v>3</v>
      </c>
      <c r="AE115" s="4">
        <v>10</v>
      </c>
      <c r="AF115" s="4">
        <v>2</v>
      </c>
      <c r="AG115" s="4">
        <v>6</v>
      </c>
      <c r="AH115" s="4">
        <v>1</v>
      </c>
      <c r="AI115" s="4">
        <v>1</v>
      </c>
      <c r="AJ115" s="4">
        <v>1</v>
      </c>
      <c r="AK115" s="4">
        <v>4</v>
      </c>
      <c r="AL115" s="4">
        <v>0</v>
      </c>
      <c r="AM115" s="4">
        <v>1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HYPERLINK("https://creighton-primo.hosted.exlibrisgroup.com/primo-explore/search?tab=default_tab&amp;search_scope=EVERYTHING&amp;vid=01CRU&amp;lang=en_US&amp;offset=0&amp;query=any,contains,991000455189702656","Catalog Record")</f>
        <v>Catalog Record</v>
      </c>
      <c r="AT115" s="6" t="str">
        <f>HYPERLINK("http://www.worldcat.org/oclc/58526990","WorldCat Record")</f>
        <v>WorldCat Record</v>
      </c>
    </row>
    <row r="116" spans="1:46" ht="40.5" customHeight="1" x14ac:dyDescent="0.25">
      <c r="A116" s="8" t="s">
        <v>58</v>
      </c>
      <c r="B116" s="2" t="s">
        <v>1484</v>
      </c>
      <c r="C116" s="2" t="s">
        <v>1485</v>
      </c>
      <c r="D116" s="2" t="s">
        <v>1486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L116" s="2" t="s">
        <v>1487</v>
      </c>
      <c r="M116" s="3" t="s">
        <v>515</v>
      </c>
      <c r="N116" s="2" t="s">
        <v>174</v>
      </c>
      <c r="O116" s="3" t="s">
        <v>64</v>
      </c>
      <c r="P116" s="3" t="s">
        <v>112</v>
      </c>
      <c r="Q116" s="2" t="s">
        <v>1488</v>
      </c>
      <c r="R116" s="3" t="s">
        <v>1346</v>
      </c>
      <c r="S116" s="4">
        <v>8</v>
      </c>
      <c r="T116" s="4">
        <v>8</v>
      </c>
      <c r="U116" s="5" t="s">
        <v>1489</v>
      </c>
      <c r="V116" s="5" t="s">
        <v>1489</v>
      </c>
      <c r="W116" s="5" t="s">
        <v>1490</v>
      </c>
      <c r="X116" s="5" t="s">
        <v>1490</v>
      </c>
      <c r="Y116" s="4">
        <v>106</v>
      </c>
      <c r="Z116" s="4">
        <v>79</v>
      </c>
      <c r="AA116" s="4">
        <v>81</v>
      </c>
      <c r="AB116" s="4">
        <v>1</v>
      </c>
      <c r="AC116" s="4">
        <v>1</v>
      </c>
      <c r="AD116" s="4">
        <v>3</v>
      </c>
      <c r="AE116" s="4">
        <v>3</v>
      </c>
      <c r="AF116" s="4">
        <v>1</v>
      </c>
      <c r="AG116" s="4">
        <v>1</v>
      </c>
      <c r="AH116" s="4">
        <v>1</v>
      </c>
      <c r="AI116" s="4">
        <v>1</v>
      </c>
      <c r="AJ116" s="4">
        <v>2</v>
      </c>
      <c r="AK116" s="4">
        <v>2</v>
      </c>
      <c r="AL116" s="4">
        <v>0</v>
      </c>
      <c r="AM116" s="4">
        <v>0</v>
      </c>
      <c r="AN116" s="4">
        <v>0</v>
      </c>
      <c r="AO116" s="4">
        <v>0</v>
      </c>
      <c r="AP116" s="3" t="s">
        <v>58</v>
      </c>
      <c r="AQ116" s="3" t="s">
        <v>115</v>
      </c>
      <c r="AR116" s="6" t="str">
        <f>HYPERLINK("http://catalog.hathitrust.org/Record/000481212","HathiTrust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HYPERLINK("https://creighton-primo.hosted.exlibrisgroup.com/primo-explore/search?tab=default_tab&amp;search_scope=EVERYTHING&amp;vid=01CRU&amp;lang=en_US&amp;offset=0&amp;query=any,contains,991001422879702656","Catalog Record")</f>
        <v>Catalog Record</v>
      </c>
      <c r="AT116" s="6" t="str">
        <f>HYPERLINK("http://www.worldcat.org/oclc/12345052","WorldCat Record")</f>
        <v>WorldCat Record</v>
      </c>
    </row>
    <row r="117" spans="1:46" ht="40.5" customHeight="1" x14ac:dyDescent="0.25">
      <c r="A117" s="8" t="s">
        <v>58</v>
      </c>
      <c r="B117" s="2" t="s">
        <v>1491</v>
      </c>
      <c r="C117" s="2" t="s">
        <v>1492</v>
      </c>
      <c r="D117" s="2" t="s">
        <v>1493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1494</v>
      </c>
      <c r="M117" s="3" t="s">
        <v>1177</v>
      </c>
      <c r="N117" s="2" t="s">
        <v>174</v>
      </c>
      <c r="O117" s="3" t="s">
        <v>64</v>
      </c>
      <c r="P117" s="3" t="s">
        <v>112</v>
      </c>
      <c r="Q117" s="2" t="s">
        <v>1495</v>
      </c>
      <c r="R117" s="3" t="s">
        <v>1346</v>
      </c>
      <c r="S117" s="4">
        <v>5</v>
      </c>
      <c r="T117" s="4">
        <v>5</v>
      </c>
      <c r="U117" s="5" t="s">
        <v>1496</v>
      </c>
      <c r="V117" s="5" t="s">
        <v>1496</v>
      </c>
      <c r="W117" s="5" t="s">
        <v>1497</v>
      </c>
      <c r="X117" s="5" t="s">
        <v>1497</v>
      </c>
      <c r="Y117" s="4">
        <v>103</v>
      </c>
      <c r="Z117" s="4">
        <v>71</v>
      </c>
      <c r="AA117" s="4">
        <v>73</v>
      </c>
      <c r="AB117" s="4">
        <v>1</v>
      </c>
      <c r="AC117" s="4">
        <v>1</v>
      </c>
      <c r="AD117" s="4">
        <v>3</v>
      </c>
      <c r="AE117" s="4">
        <v>3</v>
      </c>
      <c r="AF117" s="4">
        <v>1</v>
      </c>
      <c r="AG117" s="4">
        <v>1</v>
      </c>
      <c r="AH117" s="4">
        <v>1</v>
      </c>
      <c r="AI117" s="4">
        <v>1</v>
      </c>
      <c r="AJ117" s="4">
        <v>2</v>
      </c>
      <c r="AK117" s="4">
        <v>2</v>
      </c>
      <c r="AL117" s="4">
        <v>0</v>
      </c>
      <c r="AM117" s="4">
        <v>0</v>
      </c>
      <c r="AN117" s="4">
        <v>0</v>
      </c>
      <c r="AO117" s="4">
        <v>0</v>
      </c>
      <c r="AP117" s="3" t="s">
        <v>58</v>
      </c>
      <c r="AQ117" s="3" t="s">
        <v>115</v>
      </c>
      <c r="AR117" s="6" t="str">
        <f>HYPERLINK("http://catalog.hathitrust.org/Record/000866361","HathiTrust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HYPERLINK("https://creighton-primo.hosted.exlibrisgroup.com/primo-explore/search?tab=default_tab&amp;search_scope=EVERYTHING&amp;vid=01CRU&amp;lang=en_US&amp;offset=0&amp;query=any,contains,991001190569702656","Catalog Record")</f>
        <v>Catalog Record</v>
      </c>
      <c r="AT117" s="6" t="str">
        <f>HYPERLINK("http://www.worldcat.org/oclc/16404880","WorldCat Record")</f>
        <v>WorldCat Record</v>
      </c>
    </row>
    <row r="118" spans="1:46" ht="40.5" customHeight="1" x14ac:dyDescent="0.25">
      <c r="A118" s="8" t="s">
        <v>58</v>
      </c>
      <c r="B118" s="2" t="s">
        <v>1498</v>
      </c>
      <c r="C118" s="2" t="s">
        <v>1499</v>
      </c>
      <c r="D118" s="2" t="s">
        <v>1500</v>
      </c>
      <c r="E118" s="3" t="s">
        <v>1501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L118" s="2" t="s">
        <v>1502</v>
      </c>
      <c r="M118" s="3" t="s">
        <v>1122</v>
      </c>
      <c r="O118" s="3" t="s">
        <v>64</v>
      </c>
      <c r="P118" s="3" t="s">
        <v>1355</v>
      </c>
      <c r="Q118" s="2" t="s">
        <v>1503</v>
      </c>
      <c r="R118" s="3" t="s">
        <v>1346</v>
      </c>
      <c r="S118" s="4">
        <v>5</v>
      </c>
      <c r="T118" s="4">
        <v>5</v>
      </c>
      <c r="U118" s="5" t="s">
        <v>1504</v>
      </c>
      <c r="V118" s="5" t="s">
        <v>1504</v>
      </c>
      <c r="W118" s="5" t="s">
        <v>1505</v>
      </c>
      <c r="X118" s="5" t="s">
        <v>1505</v>
      </c>
      <c r="Y118" s="4">
        <v>138</v>
      </c>
      <c r="Z118" s="4">
        <v>103</v>
      </c>
      <c r="AA118" s="4">
        <v>111</v>
      </c>
      <c r="AB118" s="4">
        <v>1</v>
      </c>
      <c r="AC118" s="4">
        <v>1</v>
      </c>
      <c r="AD118" s="4">
        <v>4</v>
      </c>
      <c r="AE118" s="4">
        <v>5</v>
      </c>
      <c r="AF118" s="4">
        <v>1</v>
      </c>
      <c r="AG118" s="4">
        <v>2</v>
      </c>
      <c r="AH118" s="4">
        <v>0</v>
      </c>
      <c r="AI118" s="4">
        <v>0</v>
      </c>
      <c r="AJ118" s="4">
        <v>4</v>
      </c>
      <c r="AK118" s="4">
        <v>4</v>
      </c>
      <c r="AL118" s="4">
        <v>0</v>
      </c>
      <c r="AM118" s="4">
        <v>0</v>
      </c>
      <c r="AN118" s="4">
        <v>0</v>
      </c>
      <c r="AO118" s="4">
        <v>0</v>
      </c>
      <c r="AP118" s="3" t="s">
        <v>58</v>
      </c>
      <c r="AQ118" s="3" t="s">
        <v>115</v>
      </c>
      <c r="AR118" s="6" t="str">
        <f>HYPERLINK("http://catalog.hathitrust.org/Record/002064565","HathiTrust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HYPERLINK("https://creighton-primo.hosted.exlibrisgroup.com/primo-explore/search?tab=default_tab&amp;search_scope=EVERYTHING&amp;vid=01CRU&amp;lang=en_US&amp;offset=0&amp;query=any,contains,991001452549702656","Catalog Record")</f>
        <v>Catalog Record</v>
      </c>
      <c r="AT118" s="6" t="str">
        <f>HYPERLINK("http://www.worldcat.org/oclc/19510803","WorldCat Record")</f>
        <v>WorldCat Record</v>
      </c>
    </row>
    <row r="119" spans="1:46" ht="40.5" customHeight="1" x14ac:dyDescent="0.25">
      <c r="A119" s="8" t="s">
        <v>58</v>
      </c>
      <c r="B119" s="2" t="s">
        <v>1506</v>
      </c>
      <c r="C119" s="2" t="s">
        <v>1507</v>
      </c>
      <c r="D119" s="2" t="s">
        <v>1508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1509</v>
      </c>
      <c r="L119" s="2" t="s">
        <v>1510</v>
      </c>
      <c r="M119" s="3" t="s">
        <v>1511</v>
      </c>
      <c r="O119" s="3" t="s">
        <v>64</v>
      </c>
      <c r="P119" s="3" t="s">
        <v>1512</v>
      </c>
      <c r="Q119" s="2" t="s">
        <v>1513</v>
      </c>
      <c r="R119" s="3" t="s">
        <v>1346</v>
      </c>
      <c r="S119" s="4">
        <v>8</v>
      </c>
      <c r="T119" s="4">
        <v>8</v>
      </c>
      <c r="U119" s="5" t="s">
        <v>1514</v>
      </c>
      <c r="V119" s="5" t="s">
        <v>1514</v>
      </c>
      <c r="W119" s="5" t="s">
        <v>1515</v>
      </c>
      <c r="X119" s="5" t="s">
        <v>1515</v>
      </c>
      <c r="Y119" s="4">
        <v>64</v>
      </c>
      <c r="Z119" s="4">
        <v>42</v>
      </c>
      <c r="AA119" s="4">
        <v>44</v>
      </c>
      <c r="AB119" s="4">
        <v>1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115</v>
      </c>
      <c r="AR119" s="6" t="str">
        <f>HYPERLINK("http://catalog.hathitrust.org/Record/001540131","HathiTrust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HYPERLINK("https://creighton-primo.hosted.exlibrisgroup.com/primo-explore/search?tab=default_tab&amp;search_scope=EVERYTHING&amp;vid=01CRU&amp;lang=en_US&amp;offset=0&amp;query=any,contains,991001254219702656","Catalog Record")</f>
        <v>Catalog Record</v>
      </c>
      <c r="AT119" s="6" t="str">
        <f>HYPERLINK("http://www.worldcat.org/oclc/19514833","WorldCat Record")</f>
        <v>WorldCat Record</v>
      </c>
    </row>
    <row r="120" spans="1:46" ht="40.5" customHeight="1" x14ac:dyDescent="0.25">
      <c r="A120" s="8" t="s">
        <v>58</v>
      </c>
      <c r="B120" s="2" t="s">
        <v>1516</v>
      </c>
      <c r="C120" s="2" t="s">
        <v>1517</v>
      </c>
      <c r="D120" s="2" t="s">
        <v>1518</v>
      </c>
      <c r="F120" s="3" t="s">
        <v>58</v>
      </c>
      <c r="G120" s="3" t="s">
        <v>59</v>
      </c>
      <c r="H120" s="3" t="s">
        <v>58</v>
      </c>
      <c r="I120" s="3" t="s">
        <v>115</v>
      </c>
      <c r="J120" s="3" t="s">
        <v>60</v>
      </c>
      <c r="K120" s="2" t="s">
        <v>1519</v>
      </c>
      <c r="L120" s="2" t="s">
        <v>1520</v>
      </c>
      <c r="M120" s="3" t="s">
        <v>572</v>
      </c>
      <c r="N120" s="2" t="s">
        <v>221</v>
      </c>
      <c r="O120" s="3" t="s">
        <v>64</v>
      </c>
      <c r="P120" s="3" t="s">
        <v>144</v>
      </c>
      <c r="R120" s="3" t="s">
        <v>1346</v>
      </c>
      <c r="S120" s="4">
        <v>4</v>
      </c>
      <c r="T120" s="4">
        <v>4</v>
      </c>
      <c r="U120" s="5" t="s">
        <v>1521</v>
      </c>
      <c r="V120" s="5" t="s">
        <v>1521</v>
      </c>
      <c r="W120" s="5" t="s">
        <v>1522</v>
      </c>
      <c r="X120" s="5" t="s">
        <v>1522</v>
      </c>
      <c r="Y120" s="4">
        <v>268</v>
      </c>
      <c r="Z120" s="4">
        <v>213</v>
      </c>
      <c r="AA120" s="4">
        <v>821</v>
      </c>
      <c r="AB120" s="4">
        <v>1</v>
      </c>
      <c r="AC120" s="4">
        <v>7</v>
      </c>
      <c r="AD120" s="4">
        <v>7</v>
      </c>
      <c r="AE120" s="4">
        <v>25</v>
      </c>
      <c r="AF120" s="4">
        <v>4</v>
      </c>
      <c r="AG120" s="4">
        <v>10</v>
      </c>
      <c r="AH120" s="4">
        <v>0</v>
      </c>
      <c r="AI120" s="4">
        <v>3</v>
      </c>
      <c r="AJ120" s="4">
        <v>6</v>
      </c>
      <c r="AK120" s="4">
        <v>14</v>
      </c>
      <c r="AL120" s="4">
        <v>0</v>
      </c>
      <c r="AM120" s="4">
        <v>5</v>
      </c>
      <c r="AN120" s="4">
        <v>0</v>
      </c>
      <c r="AO120" s="4">
        <v>0</v>
      </c>
      <c r="AP120" s="3" t="s">
        <v>58</v>
      </c>
      <c r="AQ120" s="3" t="s">
        <v>115</v>
      </c>
      <c r="AR120" s="6" t="str">
        <f>HYPERLINK("http://catalog.hathitrust.org/Record/004297412","HathiTrust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HYPERLINK("https://creighton-primo.hosted.exlibrisgroup.com/primo-explore/search?tab=default_tab&amp;search_scope=EVERYTHING&amp;vid=01CRU&amp;lang=en_US&amp;offset=0&amp;query=any,contains,991001723059702656","Catalog Record")</f>
        <v>Catalog Record</v>
      </c>
      <c r="AT120" s="6" t="str">
        <f>HYPERLINK("http://www.worldcat.org/oclc/50002945","WorldCat Record")</f>
        <v>WorldCat Record</v>
      </c>
    </row>
    <row r="121" spans="1:46" ht="40.5" customHeight="1" x14ac:dyDescent="0.25">
      <c r="A121" s="8" t="s">
        <v>58</v>
      </c>
      <c r="B121" s="2" t="s">
        <v>1523</v>
      </c>
      <c r="C121" s="2" t="s">
        <v>1524</v>
      </c>
      <c r="D121" s="2" t="s">
        <v>1525</v>
      </c>
      <c r="F121" s="3" t="s">
        <v>58</v>
      </c>
      <c r="G121" s="3" t="s">
        <v>59</v>
      </c>
      <c r="H121" s="3" t="s">
        <v>58</v>
      </c>
      <c r="I121" s="3" t="s">
        <v>115</v>
      </c>
      <c r="J121" s="3" t="s">
        <v>60</v>
      </c>
      <c r="K121" s="2" t="s">
        <v>1519</v>
      </c>
      <c r="L121" s="2" t="s">
        <v>1526</v>
      </c>
      <c r="M121" s="3" t="s">
        <v>1037</v>
      </c>
      <c r="N121" s="2" t="s">
        <v>1354</v>
      </c>
      <c r="O121" s="3" t="s">
        <v>64</v>
      </c>
      <c r="P121" s="3" t="s">
        <v>1406</v>
      </c>
      <c r="R121" s="3" t="s">
        <v>1346</v>
      </c>
      <c r="S121" s="4">
        <v>0</v>
      </c>
      <c r="T121" s="4">
        <v>0</v>
      </c>
      <c r="U121" s="5" t="s">
        <v>1527</v>
      </c>
      <c r="V121" s="5" t="s">
        <v>1527</v>
      </c>
      <c r="W121" s="5" t="s">
        <v>1528</v>
      </c>
      <c r="X121" s="5" t="s">
        <v>1528</v>
      </c>
      <c r="Y121" s="4">
        <v>260</v>
      </c>
      <c r="Z121" s="4">
        <v>203</v>
      </c>
      <c r="AA121" s="4">
        <v>821</v>
      </c>
      <c r="AB121" s="4">
        <v>4</v>
      </c>
      <c r="AC121" s="4">
        <v>7</v>
      </c>
      <c r="AD121" s="4">
        <v>8</v>
      </c>
      <c r="AE121" s="4">
        <v>25</v>
      </c>
      <c r="AF121" s="4">
        <v>2</v>
      </c>
      <c r="AG121" s="4">
        <v>10</v>
      </c>
      <c r="AH121" s="4">
        <v>0</v>
      </c>
      <c r="AI121" s="4">
        <v>3</v>
      </c>
      <c r="AJ121" s="4">
        <v>4</v>
      </c>
      <c r="AK121" s="4">
        <v>14</v>
      </c>
      <c r="AL121" s="4">
        <v>3</v>
      </c>
      <c r="AM121" s="4">
        <v>5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HYPERLINK("https://creighton-primo.hosted.exlibrisgroup.com/primo-explore/search?tab=default_tab&amp;search_scope=EVERYTHING&amp;vid=01CRU&amp;lang=en_US&amp;offset=0&amp;query=any,contains,991001459249702656","Catalog Record")</f>
        <v>Catalog Record</v>
      </c>
      <c r="AT121" s="6" t="str">
        <f>HYPERLINK("http://www.worldcat.org/oclc/225874498","WorldCat Record")</f>
        <v>WorldCat Record</v>
      </c>
    </row>
    <row r="122" spans="1:46" ht="40.5" customHeight="1" x14ac:dyDescent="0.25">
      <c r="A122" s="8" t="s">
        <v>58</v>
      </c>
      <c r="B122" s="2" t="s">
        <v>1529</v>
      </c>
      <c r="C122" s="2" t="s">
        <v>1530</v>
      </c>
      <c r="D122" s="2" t="s">
        <v>1531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1532</v>
      </c>
      <c r="L122" s="2" t="s">
        <v>1533</v>
      </c>
      <c r="M122" s="3" t="s">
        <v>671</v>
      </c>
      <c r="N122" s="2" t="s">
        <v>1534</v>
      </c>
      <c r="O122" s="3" t="s">
        <v>64</v>
      </c>
      <c r="P122" s="3" t="s">
        <v>643</v>
      </c>
      <c r="R122" s="3" t="s">
        <v>1346</v>
      </c>
      <c r="S122" s="4">
        <v>3</v>
      </c>
      <c r="T122" s="4">
        <v>3</v>
      </c>
      <c r="U122" s="5" t="s">
        <v>1535</v>
      </c>
      <c r="V122" s="5" t="s">
        <v>1535</v>
      </c>
      <c r="W122" s="5" t="s">
        <v>1536</v>
      </c>
      <c r="X122" s="5" t="s">
        <v>1536</v>
      </c>
      <c r="Y122" s="4">
        <v>151</v>
      </c>
      <c r="Z122" s="4">
        <v>121</v>
      </c>
      <c r="AA122" s="4">
        <v>122</v>
      </c>
      <c r="AB122" s="4">
        <v>1</v>
      </c>
      <c r="AC122" s="4">
        <v>1</v>
      </c>
      <c r="AD122" s="4">
        <v>3</v>
      </c>
      <c r="AE122" s="4">
        <v>3</v>
      </c>
      <c r="AF122" s="4">
        <v>1</v>
      </c>
      <c r="AG122" s="4">
        <v>1</v>
      </c>
      <c r="AH122" s="4">
        <v>1</v>
      </c>
      <c r="AI122" s="4">
        <v>1</v>
      </c>
      <c r="AJ122" s="4">
        <v>1</v>
      </c>
      <c r="AK122" s="4">
        <v>1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115</v>
      </c>
      <c r="AR122" s="6" t="str">
        <f>HYPERLINK("http://catalog.hathitrust.org/Record/001579221","HathiTrust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HYPERLINK("https://creighton-primo.hosted.exlibrisgroup.com/primo-explore/search?tab=default_tab&amp;search_scope=EVERYTHING&amp;vid=01CRU&amp;lang=en_US&amp;offset=0&amp;query=any,contains,991000917849702656","Catalog Record")</f>
        <v>Catalog Record</v>
      </c>
      <c r="AT122" s="6" t="str">
        <f>HYPERLINK("http://www.worldcat.org/oclc/524452","WorldCat Record")</f>
        <v>WorldCat Record</v>
      </c>
    </row>
    <row r="123" spans="1:46" ht="40.5" customHeight="1" x14ac:dyDescent="0.25">
      <c r="A123" s="8" t="s">
        <v>58</v>
      </c>
      <c r="B123" s="2" t="s">
        <v>1537</v>
      </c>
      <c r="C123" s="2" t="s">
        <v>1538</v>
      </c>
      <c r="D123" s="2" t="s">
        <v>1539</v>
      </c>
      <c r="F123" s="3" t="s">
        <v>58</v>
      </c>
      <c r="G123" s="3" t="s">
        <v>59</v>
      </c>
      <c r="H123" s="3" t="s">
        <v>58</v>
      </c>
      <c r="I123" s="3" t="s">
        <v>115</v>
      </c>
      <c r="J123" s="3" t="s">
        <v>60</v>
      </c>
      <c r="K123" s="2" t="s">
        <v>1540</v>
      </c>
      <c r="L123" s="2" t="s">
        <v>1541</v>
      </c>
      <c r="M123" s="3" t="s">
        <v>921</v>
      </c>
      <c r="N123" s="2" t="s">
        <v>1362</v>
      </c>
      <c r="O123" s="3" t="s">
        <v>64</v>
      </c>
      <c r="P123" s="3" t="s">
        <v>1406</v>
      </c>
      <c r="R123" s="3" t="s">
        <v>1346</v>
      </c>
      <c r="S123" s="4">
        <v>53</v>
      </c>
      <c r="T123" s="4">
        <v>53</v>
      </c>
      <c r="U123" s="5" t="s">
        <v>1542</v>
      </c>
      <c r="V123" s="5" t="s">
        <v>1542</v>
      </c>
      <c r="W123" s="5" t="s">
        <v>1543</v>
      </c>
      <c r="X123" s="5" t="s">
        <v>1543</v>
      </c>
      <c r="Y123" s="4">
        <v>251</v>
      </c>
      <c r="Z123" s="4">
        <v>186</v>
      </c>
      <c r="AA123" s="4">
        <v>712</v>
      </c>
      <c r="AB123" s="4">
        <v>1</v>
      </c>
      <c r="AC123" s="4">
        <v>6</v>
      </c>
      <c r="AD123" s="4">
        <v>2</v>
      </c>
      <c r="AE123" s="4">
        <v>23</v>
      </c>
      <c r="AF123" s="4">
        <v>0</v>
      </c>
      <c r="AG123" s="4">
        <v>9</v>
      </c>
      <c r="AH123" s="4">
        <v>0</v>
      </c>
      <c r="AI123" s="4">
        <v>5</v>
      </c>
      <c r="AJ123" s="4">
        <v>2</v>
      </c>
      <c r="AK123" s="4">
        <v>13</v>
      </c>
      <c r="AL123" s="4">
        <v>0</v>
      </c>
      <c r="AM123" s="4">
        <v>3</v>
      </c>
      <c r="AN123" s="4">
        <v>0</v>
      </c>
      <c r="AO123" s="4">
        <v>0</v>
      </c>
      <c r="AP123" s="3" t="s">
        <v>58</v>
      </c>
      <c r="AQ123" s="3" t="s">
        <v>115</v>
      </c>
      <c r="AR123" s="6" t="str">
        <f>HYPERLINK("http://catalog.hathitrust.org/Record/004352379","HathiTrust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HYPERLINK("https://creighton-primo.hosted.exlibrisgroup.com/primo-explore/search?tab=default_tab&amp;search_scope=EVERYTHING&amp;vid=01CRU&amp;lang=en_US&amp;offset=0&amp;query=any,contains,991001725529702656","Catalog Record")</f>
        <v>Catalog Record</v>
      </c>
      <c r="AT123" s="6" t="str">
        <f>HYPERLINK("http://www.worldcat.org/oclc/53954891","WorldCat Record")</f>
        <v>WorldCat Record</v>
      </c>
    </row>
    <row r="124" spans="1:46" ht="40.5" customHeight="1" x14ac:dyDescent="0.25">
      <c r="A124" s="8" t="s">
        <v>58</v>
      </c>
      <c r="B124" s="2" t="s">
        <v>1544</v>
      </c>
      <c r="C124" s="2" t="s">
        <v>1545</v>
      </c>
      <c r="D124" s="2" t="s">
        <v>1546</v>
      </c>
      <c r="F124" s="3" t="s">
        <v>58</v>
      </c>
      <c r="G124" s="3" t="s">
        <v>59</v>
      </c>
      <c r="H124" s="3" t="s">
        <v>58</v>
      </c>
      <c r="I124" s="3" t="s">
        <v>115</v>
      </c>
      <c r="J124" s="3" t="s">
        <v>60</v>
      </c>
      <c r="K124" s="2" t="s">
        <v>1547</v>
      </c>
      <c r="L124" s="2" t="s">
        <v>1548</v>
      </c>
      <c r="M124" s="3" t="s">
        <v>306</v>
      </c>
      <c r="O124" s="3" t="s">
        <v>64</v>
      </c>
      <c r="P124" s="3" t="s">
        <v>1406</v>
      </c>
      <c r="R124" s="3" t="s">
        <v>1346</v>
      </c>
      <c r="S124" s="4">
        <v>14</v>
      </c>
      <c r="T124" s="4">
        <v>14</v>
      </c>
      <c r="U124" s="5" t="s">
        <v>1549</v>
      </c>
      <c r="V124" s="5" t="s">
        <v>1549</v>
      </c>
      <c r="W124" s="5" t="s">
        <v>1550</v>
      </c>
      <c r="X124" s="5" t="s">
        <v>1550</v>
      </c>
      <c r="Y124" s="4">
        <v>132</v>
      </c>
      <c r="Z124" s="4">
        <v>97</v>
      </c>
      <c r="AA124" s="4">
        <v>926</v>
      </c>
      <c r="AB124" s="4">
        <v>1</v>
      </c>
      <c r="AC124" s="4">
        <v>3</v>
      </c>
      <c r="AD124" s="4">
        <v>4</v>
      </c>
      <c r="AE124" s="4">
        <v>22</v>
      </c>
      <c r="AF124" s="4">
        <v>2</v>
      </c>
      <c r="AG124" s="4">
        <v>8</v>
      </c>
      <c r="AH124" s="4">
        <v>0</v>
      </c>
      <c r="AI124" s="4">
        <v>5</v>
      </c>
      <c r="AJ124" s="4">
        <v>2</v>
      </c>
      <c r="AK124" s="4">
        <v>10</v>
      </c>
      <c r="AL124" s="4">
        <v>0</v>
      </c>
      <c r="AM124" s="4">
        <v>2</v>
      </c>
      <c r="AN124" s="4">
        <v>0</v>
      </c>
      <c r="AO124" s="4">
        <v>0</v>
      </c>
      <c r="AP124" s="3" t="s">
        <v>58</v>
      </c>
      <c r="AQ124" s="3" t="s">
        <v>115</v>
      </c>
      <c r="AR124" s="6" t="str">
        <f>HYPERLINK("http://catalog.hathitrust.org/Record/003052681","HathiTrust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HYPERLINK("https://creighton-primo.hosted.exlibrisgroup.com/primo-explore/search?tab=default_tab&amp;search_scope=EVERYTHING&amp;vid=01CRU&amp;lang=en_US&amp;offset=0&amp;query=any,contains,991001552189702656","Catalog Record")</f>
        <v>Catalog Record</v>
      </c>
      <c r="AT124" s="6" t="str">
        <f>HYPERLINK("http://www.worldcat.org/oclc/33439085","WorldCat Record")</f>
        <v>WorldCat Record</v>
      </c>
    </row>
    <row r="125" spans="1:46" ht="40.5" customHeight="1" x14ac:dyDescent="0.25">
      <c r="A125" s="8" t="s">
        <v>58</v>
      </c>
      <c r="B125" s="2" t="s">
        <v>1551</v>
      </c>
      <c r="C125" s="2" t="s">
        <v>1552</v>
      </c>
      <c r="D125" s="2" t="s">
        <v>1553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1554</v>
      </c>
      <c r="L125" s="2" t="s">
        <v>1555</v>
      </c>
      <c r="M125" s="3" t="s">
        <v>173</v>
      </c>
      <c r="N125" s="2" t="s">
        <v>221</v>
      </c>
      <c r="O125" s="3" t="s">
        <v>64</v>
      </c>
      <c r="P125" s="3" t="s">
        <v>144</v>
      </c>
      <c r="R125" s="3" t="s">
        <v>1346</v>
      </c>
      <c r="S125" s="4">
        <v>6</v>
      </c>
      <c r="T125" s="4">
        <v>6</v>
      </c>
      <c r="U125" s="5" t="s">
        <v>1556</v>
      </c>
      <c r="V125" s="5" t="s">
        <v>1556</v>
      </c>
      <c r="W125" s="5" t="s">
        <v>658</v>
      </c>
      <c r="X125" s="5" t="s">
        <v>658</v>
      </c>
      <c r="Y125" s="4">
        <v>187</v>
      </c>
      <c r="Z125" s="4">
        <v>142</v>
      </c>
      <c r="AA125" s="4">
        <v>339</v>
      </c>
      <c r="AB125" s="4">
        <v>1</v>
      </c>
      <c r="AC125" s="4">
        <v>4</v>
      </c>
      <c r="AD125" s="4">
        <v>3</v>
      </c>
      <c r="AE125" s="4">
        <v>10</v>
      </c>
      <c r="AF125" s="4">
        <v>1</v>
      </c>
      <c r="AG125" s="4">
        <v>4</v>
      </c>
      <c r="AH125" s="4">
        <v>1</v>
      </c>
      <c r="AI125" s="4">
        <v>2</v>
      </c>
      <c r="AJ125" s="4">
        <v>2</v>
      </c>
      <c r="AK125" s="4">
        <v>6</v>
      </c>
      <c r="AL125" s="4">
        <v>0</v>
      </c>
      <c r="AM125" s="4">
        <v>1</v>
      </c>
      <c r="AN125" s="4">
        <v>0</v>
      </c>
      <c r="AO125" s="4">
        <v>0</v>
      </c>
      <c r="AP125" s="3" t="s">
        <v>58</v>
      </c>
      <c r="AQ125" s="3" t="s">
        <v>115</v>
      </c>
      <c r="AR125" s="6" t="str">
        <f>HYPERLINK("http://catalog.hathitrust.org/Record/002954630","HathiTrust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HYPERLINK("https://creighton-primo.hosted.exlibrisgroup.com/primo-explore/search?tab=default_tab&amp;search_scope=EVERYTHING&amp;vid=01CRU&amp;lang=en_US&amp;offset=0&amp;query=any,contains,991001769159702656","Catalog Record")</f>
        <v>Catalog Record</v>
      </c>
      <c r="AT125" s="6" t="str">
        <f>HYPERLINK("http://www.worldcat.org/oclc/31076972","WorldCat Record")</f>
        <v>WorldCat Record</v>
      </c>
    </row>
    <row r="126" spans="1:46" ht="40.5" customHeight="1" x14ac:dyDescent="0.25">
      <c r="A126" s="8" t="s">
        <v>58</v>
      </c>
      <c r="B126" s="2" t="s">
        <v>1557</v>
      </c>
      <c r="C126" s="2" t="s">
        <v>1558</v>
      </c>
      <c r="D126" s="2" t="s">
        <v>1559</v>
      </c>
      <c r="F126" s="3" t="s">
        <v>58</v>
      </c>
      <c r="G126" s="3" t="s">
        <v>59</v>
      </c>
      <c r="H126" s="3" t="s">
        <v>58</v>
      </c>
      <c r="I126" s="3" t="s">
        <v>115</v>
      </c>
      <c r="J126" s="3" t="s">
        <v>60</v>
      </c>
      <c r="K126" s="2" t="s">
        <v>1560</v>
      </c>
      <c r="L126" s="2" t="s">
        <v>1561</v>
      </c>
      <c r="M126" s="3" t="s">
        <v>892</v>
      </c>
      <c r="N126" s="2" t="s">
        <v>1562</v>
      </c>
      <c r="O126" s="3" t="s">
        <v>64</v>
      </c>
      <c r="P126" s="3" t="s">
        <v>1406</v>
      </c>
      <c r="R126" s="3" t="s">
        <v>1346</v>
      </c>
      <c r="S126" s="4">
        <v>6</v>
      </c>
      <c r="T126" s="4">
        <v>6</v>
      </c>
      <c r="U126" s="5" t="s">
        <v>1549</v>
      </c>
      <c r="V126" s="5" t="s">
        <v>1549</v>
      </c>
      <c r="W126" s="5" t="s">
        <v>1563</v>
      </c>
      <c r="X126" s="5" t="s">
        <v>1563</v>
      </c>
      <c r="Y126" s="4">
        <v>235</v>
      </c>
      <c r="Z126" s="4">
        <v>200</v>
      </c>
      <c r="AA126" s="4">
        <v>782</v>
      </c>
      <c r="AB126" s="4">
        <v>1</v>
      </c>
      <c r="AC126" s="4">
        <v>4</v>
      </c>
      <c r="AD126" s="4">
        <v>5</v>
      </c>
      <c r="AE126" s="4">
        <v>16</v>
      </c>
      <c r="AF126" s="4">
        <v>3</v>
      </c>
      <c r="AG126" s="4">
        <v>6</v>
      </c>
      <c r="AH126" s="4">
        <v>1</v>
      </c>
      <c r="AI126" s="4">
        <v>3</v>
      </c>
      <c r="AJ126" s="4">
        <v>1</v>
      </c>
      <c r="AK126" s="4">
        <v>8</v>
      </c>
      <c r="AL126" s="4">
        <v>0</v>
      </c>
      <c r="AM126" s="4">
        <v>1</v>
      </c>
      <c r="AN126" s="4">
        <v>0</v>
      </c>
      <c r="AO126" s="4">
        <v>0</v>
      </c>
      <c r="AP126" s="3" t="s">
        <v>58</v>
      </c>
      <c r="AQ126" s="3" t="s">
        <v>115</v>
      </c>
      <c r="AR126" s="6" t="str">
        <f>HYPERLINK("http://catalog.hathitrust.org/Record/003958608","HathiTrust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HYPERLINK("https://creighton-primo.hosted.exlibrisgroup.com/primo-explore/search?tab=default_tab&amp;search_scope=EVERYTHING&amp;vid=01CRU&amp;lang=en_US&amp;offset=0&amp;query=any,contains,991001564509702656","Catalog Record")</f>
        <v>Catalog Record</v>
      </c>
      <c r="AT126" s="6" t="str">
        <f>HYPERLINK("http://www.worldcat.org/oclc/40517045","WorldCat Record")</f>
        <v>WorldCat Record</v>
      </c>
    </row>
    <row r="127" spans="1:46" ht="40.5" customHeight="1" x14ac:dyDescent="0.25">
      <c r="A127" s="8" t="s">
        <v>58</v>
      </c>
      <c r="B127" s="2" t="s">
        <v>1564</v>
      </c>
      <c r="C127" s="2" t="s">
        <v>1565</v>
      </c>
      <c r="D127" s="2" t="s">
        <v>1566</v>
      </c>
      <c r="F127" s="3" t="s">
        <v>58</v>
      </c>
      <c r="G127" s="3" t="s">
        <v>59</v>
      </c>
      <c r="H127" s="3" t="s">
        <v>58</v>
      </c>
      <c r="I127" s="3" t="s">
        <v>115</v>
      </c>
      <c r="J127" s="3" t="s">
        <v>60</v>
      </c>
      <c r="K127" s="2" t="s">
        <v>1560</v>
      </c>
      <c r="L127" s="2" t="s">
        <v>1567</v>
      </c>
      <c r="M127" s="3" t="s">
        <v>907</v>
      </c>
      <c r="N127" s="2" t="s">
        <v>1568</v>
      </c>
      <c r="O127" s="3" t="s">
        <v>64</v>
      </c>
      <c r="P127" s="3" t="s">
        <v>1406</v>
      </c>
      <c r="R127" s="3" t="s">
        <v>1346</v>
      </c>
      <c r="S127" s="4">
        <v>1</v>
      </c>
      <c r="T127" s="4">
        <v>1</v>
      </c>
      <c r="U127" s="5" t="s">
        <v>1569</v>
      </c>
      <c r="V127" s="5" t="s">
        <v>1569</v>
      </c>
      <c r="W127" s="5" t="s">
        <v>1570</v>
      </c>
      <c r="X127" s="5" t="s">
        <v>1570</v>
      </c>
      <c r="Y127" s="4">
        <v>330</v>
      </c>
      <c r="Z127" s="4">
        <v>250</v>
      </c>
      <c r="AA127" s="4">
        <v>782</v>
      </c>
      <c r="AB127" s="4">
        <v>2</v>
      </c>
      <c r="AC127" s="4">
        <v>4</v>
      </c>
      <c r="AD127" s="4">
        <v>8</v>
      </c>
      <c r="AE127" s="4">
        <v>16</v>
      </c>
      <c r="AF127" s="4">
        <v>3</v>
      </c>
      <c r="AG127" s="4">
        <v>6</v>
      </c>
      <c r="AH127" s="4">
        <v>0</v>
      </c>
      <c r="AI127" s="4">
        <v>3</v>
      </c>
      <c r="AJ127" s="4">
        <v>4</v>
      </c>
      <c r="AK127" s="4">
        <v>8</v>
      </c>
      <c r="AL127" s="4">
        <v>1</v>
      </c>
      <c r="AM127" s="4">
        <v>1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HYPERLINK("https://creighton-primo.hosted.exlibrisgroup.com/primo-explore/search?tab=default_tab&amp;search_scope=EVERYTHING&amp;vid=01CRU&amp;lang=en_US&amp;offset=0&amp;query=any,contains,991001738269702656","Catalog Record")</f>
        <v>Catalog Record</v>
      </c>
      <c r="AT127" s="6" t="str">
        <f>HYPERLINK("http://www.worldcat.org/oclc/65195229","WorldCat Record")</f>
        <v>WorldCat Record</v>
      </c>
    </row>
    <row r="128" spans="1:46" ht="40.5" customHeight="1" x14ac:dyDescent="0.25">
      <c r="A128" s="8" t="s">
        <v>58</v>
      </c>
      <c r="B128" s="2" t="s">
        <v>1571</v>
      </c>
      <c r="C128" s="2" t="s">
        <v>1572</v>
      </c>
      <c r="D128" s="2" t="s">
        <v>1573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L128" s="2" t="s">
        <v>1574</v>
      </c>
      <c r="M128" s="3" t="s">
        <v>424</v>
      </c>
      <c r="N128" s="2" t="s">
        <v>221</v>
      </c>
      <c r="O128" s="3" t="s">
        <v>64</v>
      </c>
      <c r="P128" s="3" t="s">
        <v>190</v>
      </c>
      <c r="R128" s="3" t="s">
        <v>1346</v>
      </c>
      <c r="S128" s="4">
        <v>86</v>
      </c>
      <c r="T128" s="4">
        <v>86</v>
      </c>
      <c r="U128" s="5" t="s">
        <v>1575</v>
      </c>
      <c r="V128" s="5" t="s">
        <v>1575</v>
      </c>
      <c r="W128" s="5" t="s">
        <v>1576</v>
      </c>
      <c r="X128" s="5" t="s">
        <v>1576</v>
      </c>
      <c r="Y128" s="4">
        <v>189</v>
      </c>
      <c r="Z128" s="4">
        <v>126</v>
      </c>
      <c r="AA128" s="4">
        <v>287</v>
      </c>
      <c r="AB128" s="4">
        <v>1</v>
      </c>
      <c r="AC128" s="4">
        <v>2</v>
      </c>
      <c r="AD128" s="4">
        <v>1</v>
      </c>
      <c r="AE128" s="4">
        <v>7</v>
      </c>
      <c r="AF128" s="4">
        <v>0</v>
      </c>
      <c r="AG128" s="4">
        <v>1</v>
      </c>
      <c r="AH128" s="4">
        <v>0</v>
      </c>
      <c r="AI128" s="4">
        <v>3</v>
      </c>
      <c r="AJ128" s="4">
        <v>1</v>
      </c>
      <c r="AK128" s="4">
        <v>3</v>
      </c>
      <c r="AL128" s="4">
        <v>0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115</v>
      </c>
      <c r="AR128" s="6" t="str">
        <f>HYPERLINK("http://catalog.hathitrust.org/Record/002795724","HathiTrust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HYPERLINK("https://creighton-primo.hosted.exlibrisgroup.com/primo-explore/search?tab=default_tab&amp;search_scope=EVERYTHING&amp;vid=01CRU&amp;lang=en_US&amp;offset=0&amp;query=any,contains,991001119779702656","Catalog Record")</f>
        <v>Catalog Record</v>
      </c>
      <c r="AT128" s="6" t="str">
        <f>HYPERLINK("http://www.worldcat.org/oclc/28929399","WorldCat Record")</f>
        <v>WorldCat Record</v>
      </c>
    </row>
    <row r="129" spans="1:46" ht="40.5" customHeight="1" x14ac:dyDescent="0.25">
      <c r="A129" s="8" t="s">
        <v>58</v>
      </c>
      <c r="B129" s="2" t="s">
        <v>1577</v>
      </c>
      <c r="C129" s="2" t="s">
        <v>1578</v>
      </c>
      <c r="D129" s="2" t="s">
        <v>1579</v>
      </c>
      <c r="F129" s="3" t="s">
        <v>58</v>
      </c>
      <c r="G129" s="3" t="s">
        <v>59</v>
      </c>
      <c r="H129" s="3" t="s">
        <v>58</v>
      </c>
      <c r="I129" s="3" t="s">
        <v>115</v>
      </c>
      <c r="J129" s="3" t="s">
        <v>60</v>
      </c>
      <c r="L129" s="2" t="s">
        <v>1580</v>
      </c>
      <c r="M129" s="3" t="s">
        <v>921</v>
      </c>
      <c r="N129" s="2" t="s">
        <v>1354</v>
      </c>
      <c r="O129" s="3" t="s">
        <v>64</v>
      </c>
      <c r="P129" s="3" t="s">
        <v>144</v>
      </c>
      <c r="R129" s="3" t="s">
        <v>1346</v>
      </c>
      <c r="S129" s="4">
        <v>15</v>
      </c>
      <c r="T129" s="4">
        <v>15</v>
      </c>
      <c r="U129" s="5" t="s">
        <v>1581</v>
      </c>
      <c r="V129" s="5" t="s">
        <v>1581</v>
      </c>
      <c r="W129" s="5" t="s">
        <v>1582</v>
      </c>
      <c r="X129" s="5" t="s">
        <v>1582</v>
      </c>
      <c r="Y129" s="4">
        <v>273</v>
      </c>
      <c r="Z129" s="4">
        <v>183</v>
      </c>
      <c r="AA129" s="4">
        <v>259</v>
      </c>
      <c r="AB129" s="4">
        <v>2</v>
      </c>
      <c r="AC129" s="4">
        <v>2</v>
      </c>
      <c r="AD129" s="4">
        <v>8</v>
      </c>
      <c r="AE129" s="4">
        <v>10</v>
      </c>
      <c r="AF129" s="4">
        <v>3</v>
      </c>
      <c r="AG129" s="4">
        <v>4</v>
      </c>
      <c r="AH129" s="4">
        <v>1</v>
      </c>
      <c r="AI129" s="4">
        <v>1</v>
      </c>
      <c r="AJ129" s="4">
        <v>3</v>
      </c>
      <c r="AK129" s="4">
        <v>4</v>
      </c>
      <c r="AL129" s="4">
        <v>1</v>
      </c>
      <c r="AM129" s="4">
        <v>1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HYPERLINK("https://creighton-primo.hosted.exlibrisgroup.com/primo-explore/search?tab=default_tab&amp;search_scope=EVERYTHING&amp;vid=01CRU&amp;lang=en_US&amp;offset=0&amp;query=any,contains,991000448159702656","Catalog Record")</f>
        <v>Catalog Record</v>
      </c>
      <c r="AT129" s="6" t="str">
        <f>HYPERLINK("http://www.worldcat.org/oclc/51258187","WorldCat Record")</f>
        <v>WorldCat Record</v>
      </c>
    </row>
    <row r="130" spans="1:46" ht="40.5" customHeight="1" x14ac:dyDescent="0.25">
      <c r="A130" s="8" t="s">
        <v>58</v>
      </c>
      <c r="B130" s="2" t="s">
        <v>1583</v>
      </c>
      <c r="C130" s="2" t="s">
        <v>1584</v>
      </c>
      <c r="D130" s="2" t="s">
        <v>1579</v>
      </c>
      <c r="F130" s="3" t="s">
        <v>58</v>
      </c>
      <c r="G130" s="3" t="s">
        <v>59</v>
      </c>
      <c r="H130" s="3" t="s">
        <v>58</v>
      </c>
      <c r="I130" s="3" t="s">
        <v>115</v>
      </c>
      <c r="J130" s="3" t="s">
        <v>60</v>
      </c>
      <c r="L130" s="2" t="s">
        <v>1585</v>
      </c>
      <c r="M130" s="3" t="s">
        <v>365</v>
      </c>
      <c r="N130" s="2" t="s">
        <v>1362</v>
      </c>
      <c r="O130" s="3" t="s">
        <v>64</v>
      </c>
      <c r="P130" s="3" t="s">
        <v>190</v>
      </c>
      <c r="R130" s="3" t="s">
        <v>1346</v>
      </c>
      <c r="S130" s="4">
        <v>28</v>
      </c>
      <c r="T130" s="4">
        <v>28</v>
      </c>
      <c r="U130" s="5" t="s">
        <v>1586</v>
      </c>
      <c r="V130" s="5" t="s">
        <v>1586</v>
      </c>
      <c r="W130" s="5" t="s">
        <v>1587</v>
      </c>
      <c r="X130" s="5" t="s">
        <v>1587</v>
      </c>
      <c r="Y130" s="4">
        <v>211</v>
      </c>
      <c r="Z130" s="4">
        <v>144</v>
      </c>
      <c r="AA130" s="4">
        <v>259</v>
      </c>
      <c r="AB130" s="4">
        <v>1</v>
      </c>
      <c r="AC130" s="4">
        <v>2</v>
      </c>
      <c r="AD130" s="4">
        <v>5</v>
      </c>
      <c r="AE130" s="4">
        <v>10</v>
      </c>
      <c r="AF130" s="4">
        <v>2</v>
      </c>
      <c r="AG130" s="4">
        <v>4</v>
      </c>
      <c r="AH130" s="4">
        <v>1</v>
      </c>
      <c r="AI130" s="4">
        <v>1</v>
      </c>
      <c r="AJ130" s="4">
        <v>2</v>
      </c>
      <c r="AK130" s="4">
        <v>4</v>
      </c>
      <c r="AL130" s="4">
        <v>0</v>
      </c>
      <c r="AM130" s="4">
        <v>1</v>
      </c>
      <c r="AN130" s="4">
        <v>0</v>
      </c>
      <c r="AO130" s="4">
        <v>0</v>
      </c>
      <c r="AP130" s="3" t="s">
        <v>58</v>
      </c>
      <c r="AQ130" s="3" t="s">
        <v>115</v>
      </c>
      <c r="AR130" s="6" t="str">
        <f>HYPERLINK("http://catalog.hathitrust.org/Record/003126395","HathiTrust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HYPERLINK("https://creighton-primo.hosted.exlibrisgroup.com/primo-explore/search?tab=default_tab&amp;search_scope=EVERYTHING&amp;vid=01CRU&amp;lang=en_US&amp;offset=0&amp;query=any,contains,991000839499702656","Catalog Record")</f>
        <v>Catalog Record</v>
      </c>
      <c r="AT130" s="6" t="str">
        <f>HYPERLINK("http://www.worldcat.org/oclc/34912638","WorldCat Record")</f>
        <v>WorldCat Record</v>
      </c>
    </row>
    <row r="131" spans="1:46" ht="40.5" customHeight="1" x14ac:dyDescent="0.25">
      <c r="A131" s="8" t="s">
        <v>58</v>
      </c>
      <c r="B131" s="2" t="s">
        <v>1588</v>
      </c>
      <c r="C131" s="2" t="s">
        <v>1589</v>
      </c>
      <c r="D131" s="2" t="s">
        <v>1590</v>
      </c>
      <c r="F131" s="3" t="s">
        <v>58</v>
      </c>
      <c r="G131" s="3" t="s">
        <v>59</v>
      </c>
      <c r="H131" s="3" t="s">
        <v>58</v>
      </c>
      <c r="I131" s="3" t="s">
        <v>115</v>
      </c>
      <c r="J131" s="3" t="s">
        <v>60</v>
      </c>
      <c r="K131" s="2" t="s">
        <v>1591</v>
      </c>
      <c r="L131" s="2" t="s">
        <v>1592</v>
      </c>
      <c r="M131" s="3" t="s">
        <v>111</v>
      </c>
      <c r="O131" s="3" t="s">
        <v>64</v>
      </c>
      <c r="P131" s="3" t="s">
        <v>144</v>
      </c>
      <c r="R131" s="3" t="s">
        <v>1346</v>
      </c>
      <c r="S131" s="4">
        <v>6</v>
      </c>
      <c r="T131" s="4">
        <v>6</v>
      </c>
      <c r="U131" s="5" t="s">
        <v>1593</v>
      </c>
      <c r="V131" s="5" t="s">
        <v>1593</v>
      </c>
      <c r="W131" s="5" t="s">
        <v>1536</v>
      </c>
      <c r="X131" s="5" t="s">
        <v>1536</v>
      </c>
      <c r="Y131" s="4">
        <v>127</v>
      </c>
      <c r="Z131" s="4">
        <v>110</v>
      </c>
      <c r="AA131" s="4">
        <v>526</v>
      </c>
      <c r="AB131" s="4">
        <v>2</v>
      </c>
      <c r="AC131" s="4">
        <v>3</v>
      </c>
      <c r="AD131" s="4">
        <v>3</v>
      </c>
      <c r="AE131" s="4">
        <v>13</v>
      </c>
      <c r="AF131" s="4">
        <v>1</v>
      </c>
      <c r="AG131" s="4">
        <v>5</v>
      </c>
      <c r="AH131" s="4">
        <v>0</v>
      </c>
      <c r="AI131" s="4">
        <v>4</v>
      </c>
      <c r="AJ131" s="4">
        <v>1</v>
      </c>
      <c r="AK131" s="4">
        <v>6</v>
      </c>
      <c r="AL131" s="4">
        <v>1</v>
      </c>
      <c r="AM131" s="4">
        <v>2</v>
      </c>
      <c r="AN131" s="4">
        <v>0</v>
      </c>
      <c r="AO131" s="4">
        <v>0</v>
      </c>
      <c r="AP131" s="3" t="s">
        <v>58</v>
      </c>
      <c r="AQ131" s="3" t="s">
        <v>115</v>
      </c>
      <c r="AR131" s="6" t="str">
        <f>HYPERLINK("http://catalog.hathitrust.org/Record/000020504","HathiTrust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HYPERLINK("https://creighton-primo.hosted.exlibrisgroup.com/primo-explore/search?tab=default_tab&amp;search_scope=EVERYTHING&amp;vid=01CRU&amp;lang=en_US&amp;offset=0&amp;query=any,contains,991000947129702656","Catalog Record")</f>
        <v>Catalog Record</v>
      </c>
      <c r="AT131" s="6" t="str">
        <f>HYPERLINK("http://www.worldcat.org/oclc/1218402","WorldCat Record")</f>
        <v>WorldCat Record</v>
      </c>
    </row>
    <row r="132" spans="1:46" ht="40.5" customHeight="1" x14ac:dyDescent="0.25">
      <c r="A132" s="8" t="s">
        <v>58</v>
      </c>
      <c r="B132" s="2" t="s">
        <v>1594</v>
      </c>
      <c r="C132" s="2" t="s">
        <v>1595</v>
      </c>
      <c r="D132" s="2" t="s">
        <v>1596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1597</v>
      </c>
      <c r="L132" s="2" t="s">
        <v>1598</v>
      </c>
      <c r="M132" s="3" t="s">
        <v>380</v>
      </c>
      <c r="N132" s="2" t="s">
        <v>143</v>
      </c>
      <c r="O132" s="3" t="s">
        <v>64</v>
      </c>
      <c r="P132" s="3" t="s">
        <v>685</v>
      </c>
      <c r="R132" s="3" t="s">
        <v>1346</v>
      </c>
      <c r="S132" s="4">
        <v>90</v>
      </c>
      <c r="T132" s="4">
        <v>90</v>
      </c>
      <c r="U132" s="5" t="s">
        <v>1599</v>
      </c>
      <c r="V132" s="5" t="s">
        <v>1599</v>
      </c>
      <c r="W132" s="5" t="s">
        <v>1600</v>
      </c>
      <c r="X132" s="5" t="s">
        <v>1600</v>
      </c>
      <c r="Y132" s="4">
        <v>173</v>
      </c>
      <c r="Z132" s="4">
        <v>136</v>
      </c>
      <c r="AA132" s="4">
        <v>238</v>
      </c>
      <c r="AB132" s="4">
        <v>3</v>
      </c>
      <c r="AC132" s="4">
        <v>3</v>
      </c>
      <c r="AD132" s="4">
        <v>2</v>
      </c>
      <c r="AE132" s="4">
        <v>6</v>
      </c>
      <c r="AF132" s="4">
        <v>0</v>
      </c>
      <c r="AG132" s="4">
        <v>3</v>
      </c>
      <c r="AH132" s="4">
        <v>1</v>
      </c>
      <c r="AI132" s="4">
        <v>2</v>
      </c>
      <c r="AJ132" s="4">
        <v>2</v>
      </c>
      <c r="AK132" s="4">
        <v>4</v>
      </c>
      <c r="AL132" s="4">
        <v>0</v>
      </c>
      <c r="AM132" s="4">
        <v>0</v>
      </c>
      <c r="AN132" s="4">
        <v>0</v>
      </c>
      <c r="AO132" s="4">
        <v>0</v>
      </c>
      <c r="AP132" s="3" t="s">
        <v>58</v>
      </c>
      <c r="AQ132" s="3" t="s">
        <v>115</v>
      </c>
      <c r="AR132" s="6" t="str">
        <f>HYPERLINK("http://catalog.hathitrust.org/Record/004546240","HathiTrust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HYPERLINK("https://creighton-primo.hosted.exlibrisgroup.com/primo-explore/search?tab=default_tab&amp;search_scope=EVERYTHING&amp;vid=01CRU&amp;lang=en_US&amp;offset=0&amp;query=any,contains,991001479729702656","Catalog Record")</f>
        <v>Catalog Record</v>
      </c>
      <c r="AT132" s="6" t="str">
        <f>HYPERLINK("http://www.worldcat.org/oclc/27218119","WorldCat Record")</f>
        <v>WorldCat Record</v>
      </c>
    </row>
    <row r="133" spans="1:46" ht="40.5" customHeight="1" x14ac:dyDescent="0.25">
      <c r="A133" s="8" t="s">
        <v>58</v>
      </c>
      <c r="B133" s="2" t="s">
        <v>1601</v>
      </c>
      <c r="C133" s="2" t="s">
        <v>1602</v>
      </c>
      <c r="D133" s="2" t="s">
        <v>1603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1604</v>
      </c>
      <c r="L133" s="2" t="s">
        <v>1605</v>
      </c>
      <c r="M133" s="3" t="s">
        <v>408</v>
      </c>
      <c r="N133" s="2" t="s">
        <v>1606</v>
      </c>
      <c r="O133" s="3" t="s">
        <v>64</v>
      </c>
      <c r="P133" s="3" t="s">
        <v>1355</v>
      </c>
      <c r="R133" s="3" t="s">
        <v>1346</v>
      </c>
      <c r="S133" s="4">
        <v>8</v>
      </c>
      <c r="T133" s="4">
        <v>8</v>
      </c>
      <c r="U133" s="5" t="s">
        <v>1607</v>
      </c>
      <c r="V133" s="5" t="s">
        <v>1607</v>
      </c>
      <c r="W133" s="5" t="s">
        <v>1348</v>
      </c>
      <c r="X133" s="5" t="s">
        <v>1348</v>
      </c>
      <c r="Y133" s="4">
        <v>157</v>
      </c>
      <c r="Z133" s="4">
        <v>133</v>
      </c>
      <c r="AA133" s="4">
        <v>135</v>
      </c>
      <c r="AB133" s="4">
        <v>3</v>
      </c>
      <c r="AC133" s="4">
        <v>3</v>
      </c>
      <c r="AD133" s="4">
        <v>4</v>
      </c>
      <c r="AE133" s="4">
        <v>4</v>
      </c>
      <c r="AF133" s="4">
        <v>1</v>
      </c>
      <c r="AG133" s="4">
        <v>1</v>
      </c>
      <c r="AH133" s="4">
        <v>1</v>
      </c>
      <c r="AI133" s="4">
        <v>1</v>
      </c>
      <c r="AJ133" s="4">
        <v>2</v>
      </c>
      <c r="AK133" s="4">
        <v>2</v>
      </c>
      <c r="AL133" s="4">
        <v>0</v>
      </c>
      <c r="AM133" s="4">
        <v>0</v>
      </c>
      <c r="AN133" s="4">
        <v>0</v>
      </c>
      <c r="AO133" s="4">
        <v>0</v>
      </c>
      <c r="AP133" s="3" t="s">
        <v>58</v>
      </c>
      <c r="AQ133" s="3" t="s">
        <v>115</v>
      </c>
      <c r="AR133" s="6" t="str">
        <f>HYPERLINK("http://catalog.hathitrust.org/Record/000569813","HathiTrust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HYPERLINK("https://creighton-primo.hosted.exlibrisgroup.com/primo-explore/search?tab=default_tab&amp;search_scope=EVERYTHING&amp;vid=01CRU&amp;lang=en_US&amp;offset=0&amp;query=any,contains,991000946889702656","Catalog Record")</f>
        <v>Catalog Record</v>
      </c>
      <c r="AT133" s="6" t="str">
        <f>HYPERLINK("http://www.worldcat.org/oclc/11649350","WorldCat Record")</f>
        <v>WorldCat Record</v>
      </c>
    </row>
    <row r="134" spans="1:46" ht="40.5" customHeight="1" x14ac:dyDescent="0.25">
      <c r="A134" s="8" t="s">
        <v>58</v>
      </c>
      <c r="B134" s="2" t="s">
        <v>1608</v>
      </c>
      <c r="C134" s="2" t="s">
        <v>1609</v>
      </c>
      <c r="D134" s="2" t="s">
        <v>1610</v>
      </c>
      <c r="F134" s="3" t="s">
        <v>58</v>
      </c>
      <c r="G134" s="3" t="s">
        <v>59</v>
      </c>
      <c r="H134" s="3" t="s">
        <v>58</v>
      </c>
      <c r="I134" s="3" t="s">
        <v>115</v>
      </c>
      <c r="J134" s="3" t="s">
        <v>60</v>
      </c>
      <c r="K134" s="2" t="s">
        <v>1611</v>
      </c>
      <c r="L134" s="2" t="s">
        <v>1441</v>
      </c>
      <c r="M134" s="3" t="s">
        <v>306</v>
      </c>
      <c r="O134" s="3" t="s">
        <v>64</v>
      </c>
      <c r="P134" s="3" t="s">
        <v>65</v>
      </c>
      <c r="R134" s="3" t="s">
        <v>1346</v>
      </c>
      <c r="S134" s="4">
        <v>18</v>
      </c>
      <c r="T134" s="4">
        <v>18</v>
      </c>
      <c r="U134" s="5" t="s">
        <v>1612</v>
      </c>
      <c r="V134" s="5" t="s">
        <v>1612</v>
      </c>
      <c r="W134" s="5" t="s">
        <v>1613</v>
      </c>
      <c r="X134" s="5" t="s">
        <v>1613</v>
      </c>
      <c r="Y134" s="4">
        <v>127</v>
      </c>
      <c r="Z134" s="4">
        <v>93</v>
      </c>
      <c r="AA134" s="4">
        <v>202</v>
      </c>
      <c r="AB134" s="4">
        <v>1</v>
      </c>
      <c r="AC134" s="4">
        <v>1</v>
      </c>
      <c r="AD134" s="4">
        <v>7</v>
      </c>
      <c r="AE134" s="4">
        <v>11</v>
      </c>
      <c r="AF134" s="4">
        <v>1</v>
      </c>
      <c r="AG134" s="4">
        <v>5</v>
      </c>
      <c r="AH134" s="4">
        <v>2</v>
      </c>
      <c r="AI134" s="4">
        <v>3</v>
      </c>
      <c r="AJ134" s="4">
        <v>5</v>
      </c>
      <c r="AK134" s="4">
        <v>5</v>
      </c>
      <c r="AL134" s="4">
        <v>0</v>
      </c>
      <c r="AM134" s="4">
        <v>0</v>
      </c>
      <c r="AN134" s="4">
        <v>0</v>
      </c>
      <c r="AO134" s="4">
        <v>0</v>
      </c>
      <c r="AP134" s="3" t="s">
        <v>58</v>
      </c>
      <c r="AQ134" s="3" t="s">
        <v>115</v>
      </c>
      <c r="AR134" s="6" t="str">
        <f>HYPERLINK("http://catalog.hathitrust.org/Record/003067158","HathiTrust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HYPERLINK("https://creighton-primo.hosted.exlibrisgroup.com/primo-explore/search?tab=default_tab&amp;search_scope=EVERYTHING&amp;vid=01CRU&amp;lang=en_US&amp;offset=0&amp;query=any,contains,991001559339702656","Catalog Record")</f>
        <v>Catalog Record</v>
      </c>
      <c r="AT134" s="6" t="str">
        <f>HYPERLINK("http://www.worldcat.org/oclc/33105346","WorldCat Record")</f>
        <v>WorldCat Record</v>
      </c>
    </row>
    <row r="135" spans="1:46" ht="40.5" customHeight="1" x14ac:dyDescent="0.25">
      <c r="A135" s="8" t="s">
        <v>58</v>
      </c>
      <c r="B135" s="2" t="s">
        <v>1614</v>
      </c>
      <c r="C135" s="2" t="s">
        <v>1615</v>
      </c>
      <c r="D135" s="2" t="s">
        <v>1616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1617</v>
      </c>
      <c r="L135" s="2" t="s">
        <v>1618</v>
      </c>
      <c r="M135" s="3" t="s">
        <v>142</v>
      </c>
      <c r="N135" s="2" t="s">
        <v>143</v>
      </c>
      <c r="O135" s="3" t="s">
        <v>64</v>
      </c>
      <c r="P135" s="3" t="s">
        <v>1355</v>
      </c>
      <c r="R135" s="3" t="s">
        <v>1346</v>
      </c>
      <c r="S135" s="4">
        <v>2</v>
      </c>
      <c r="T135" s="4">
        <v>2</v>
      </c>
      <c r="U135" s="5" t="s">
        <v>1619</v>
      </c>
      <c r="V135" s="5" t="s">
        <v>1619</v>
      </c>
      <c r="W135" s="5" t="s">
        <v>1620</v>
      </c>
      <c r="X135" s="5" t="s">
        <v>1620</v>
      </c>
      <c r="Y135" s="4">
        <v>183</v>
      </c>
      <c r="Z135" s="4">
        <v>145</v>
      </c>
      <c r="AA135" s="4">
        <v>263</v>
      </c>
      <c r="AB135" s="4">
        <v>1</v>
      </c>
      <c r="AC135" s="4">
        <v>3</v>
      </c>
      <c r="AD135" s="4">
        <v>3</v>
      </c>
      <c r="AE135" s="4">
        <v>6</v>
      </c>
      <c r="AF135" s="4">
        <v>1</v>
      </c>
      <c r="AG135" s="4">
        <v>3</v>
      </c>
      <c r="AH135" s="4">
        <v>0</v>
      </c>
      <c r="AI135" s="4">
        <v>0</v>
      </c>
      <c r="AJ135" s="4">
        <v>2</v>
      </c>
      <c r="AK135" s="4">
        <v>4</v>
      </c>
      <c r="AL135" s="4">
        <v>0</v>
      </c>
      <c r="AM135" s="4">
        <v>1</v>
      </c>
      <c r="AN135" s="4">
        <v>0</v>
      </c>
      <c r="AO135" s="4">
        <v>0</v>
      </c>
      <c r="AP135" s="3" t="s">
        <v>58</v>
      </c>
      <c r="AQ135" s="3" t="s">
        <v>115</v>
      </c>
      <c r="AR135" s="6" t="str">
        <f>HYPERLINK("http://catalog.hathitrust.org/Record/002432718","HathiTrust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HYPERLINK("https://creighton-primo.hosted.exlibrisgroup.com/primo-explore/search?tab=default_tab&amp;search_scope=EVERYTHING&amp;vid=01CRU&amp;lang=en_US&amp;offset=0&amp;query=any,contains,991000935059702656","Catalog Record")</f>
        <v>Catalog Record</v>
      </c>
      <c r="AT135" s="6" t="str">
        <f>HYPERLINK("http://www.worldcat.org/oclc/22110607","WorldCat Record")</f>
        <v>WorldCat Record</v>
      </c>
    </row>
    <row r="136" spans="1:46" ht="40.5" customHeight="1" x14ac:dyDescent="0.25">
      <c r="A136" s="8" t="s">
        <v>58</v>
      </c>
      <c r="B136" s="2" t="s">
        <v>1621</v>
      </c>
      <c r="C136" s="2" t="s">
        <v>1622</v>
      </c>
      <c r="D136" s="2" t="s">
        <v>1623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1624</v>
      </c>
      <c r="L136" s="2" t="s">
        <v>1625</v>
      </c>
      <c r="M136" s="3" t="s">
        <v>142</v>
      </c>
      <c r="N136" s="2" t="s">
        <v>143</v>
      </c>
      <c r="O136" s="3" t="s">
        <v>64</v>
      </c>
      <c r="P136" s="3" t="s">
        <v>65</v>
      </c>
      <c r="R136" s="3" t="s">
        <v>1346</v>
      </c>
      <c r="S136" s="4">
        <v>9</v>
      </c>
      <c r="T136" s="4">
        <v>9</v>
      </c>
      <c r="U136" s="5" t="s">
        <v>1626</v>
      </c>
      <c r="V136" s="5" t="s">
        <v>1626</v>
      </c>
      <c r="W136" s="5" t="s">
        <v>1627</v>
      </c>
      <c r="X136" s="5" t="s">
        <v>1627</v>
      </c>
      <c r="Y136" s="4">
        <v>77</v>
      </c>
      <c r="Z136" s="4">
        <v>58</v>
      </c>
      <c r="AA136" s="4">
        <v>460</v>
      </c>
      <c r="AB136" s="4">
        <v>1</v>
      </c>
      <c r="AC136" s="4">
        <v>3</v>
      </c>
      <c r="AD136" s="4">
        <v>0</v>
      </c>
      <c r="AE136" s="4">
        <v>9</v>
      </c>
      <c r="AF136" s="4">
        <v>0</v>
      </c>
      <c r="AG136" s="4">
        <v>2</v>
      </c>
      <c r="AH136" s="4">
        <v>0</v>
      </c>
      <c r="AI136" s="4">
        <v>3</v>
      </c>
      <c r="AJ136" s="4">
        <v>0</v>
      </c>
      <c r="AK136" s="4">
        <v>4</v>
      </c>
      <c r="AL136" s="4">
        <v>0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HYPERLINK("https://creighton-primo.hosted.exlibrisgroup.com/primo-explore/search?tab=default_tab&amp;search_scope=EVERYTHING&amp;vid=01CRU&amp;lang=en_US&amp;offset=0&amp;query=any,contains,991001298029702656","Catalog Record")</f>
        <v>Catalog Record</v>
      </c>
      <c r="AT136" s="6" t="str">
        <f>HYPERLINK("http://www.worldcat.org/oclc/23286681","WorldCat Record")</f>
        <v>WorldCat Record</v>
      </c>
    </row>
    <row r="137" spans="1:46" ht="40.5" customHeight="1" x14ac:dyDescent="0.25">
      <c r="A137" s="8" t="s">
        <v>58</v>
      </c>
      <c r="B137" s="2" t="s">
        <v>1628</v>
      </c>
      <c r="C137" s="2" t="s">
        <v>1629</v>
      </c>
      <c r="D137" s="2" t="s">
        <v>1630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L137" s="2" t="s">
        <v>1631</v>
      </c>
      <c r="M137" s="3" t="s">
        <v>290</v>
      </c>
      <c r="O137" s="3" t="s">
        <v>64</v>
      </c>
      <c r="P137" s="3" t="s">
        <v>65</v>
      </c>
      <c r="R137" s="3" t="s">
        <v>1346</v>
      </c>
      <c r="S137" s="4">
        <v>3</v>
      </c>
      <c r="T137" s="4">
        <v>3</v>
      </c>
      <c r="U137" s="5" t="s">
        <v>1632</v>
      </c>
      <c r="V137" s="5" t="s">
        <v>1632</v>
      </c>
      <c r="W137" s="5" t="s">
        <v>1633</v>
      </c>
      <c r="X137" s="5" t="s">
        <v>1633</v>
      </c>
      <c r="Y137" s="4">
        <v>80</v>
      </c>
      <c r="Z137" s="4">
        <v>61</v>
      </c>
      <c r="AA137" s="4">
        <v>64</v>
      </c>
      <c r="AB137" s="4">
        <v>1</v>
      </c>
      <c r="AC137" s="4">
        <v>1</v>
      </c>
      <c r="AD137" s="4">
        <v>1</v>
      </c>
      <c r="AE137" s="4">
        <v>1</v>
      </c>
      <c r="AF137" s="4">
        <v>0</v>
      </c>
      <c r="AG137" s="4">
        <v>0</v>
      </c>
      <c r="AH137" s="4">
        <v>1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3" t="s">
        <v>58</v>
      </c>
      <c r="AQ137" s="3" t="s">
        <v>115</v>
      </c>
      <c r="AR137" s="6" t="str">
        <f>HYPERLINK("http://catalog.hathitrust.org/Record/001549921","HathiTrust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HYPERLINK("https://creighton-primo.hosted.exlibrisgroup.com/primo-explore/search?tab=default_tab&amp;search_scope=EVERYTHING&amp;vid=01CRU&amp;lang=en_US&amp;offset=0&amp;query=any,contains,991001120879702656","Catalog Record")</f>
        <v>Catalog Record</v>
      </c>
      <c r="AT137" s="6" t="str">
        <f>HYPERLINK("http://www.worldcat.org/oclc/18537731","WorldCat Record")</f>
        <v>WorldCat Record</v>
      </c>
    </row>
    <row r="138" spans="1:46" ht="40.5" customHeight="1" x14ac:dyDescent="0.25">
      <c r="A138" s="8" t="s">
        <v>58</v>
      </c>
      <c r="B138" s="2" t="s">
        <v>1634</v>
      </c>
      <c r="C138" s="2" t="s">
        <v>1635</v>
      </c>
      <c r="D138" s="2" t="s">
        <v>1636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1637</v>
      </c>
      <c r="L138" s="2" t="s">
        <v>1638</v>
      </c>
      <c r="M138" s="3" t="s">
        <v>1639</v>
      </c>
      <c r="O138" s="3" t="s">
        <v>64</v>
      </c>
      <c r="P138" s="3" t="s">
        <v>265</v>
      </c>
      <c r="R138" s="3" t="s">
        <v>1346</v>
      </c>
      <c r="S138" s="4">
        <v>1</v>
      </c>
      <c r="T138" s="4">
        <v>1</v>
      </c>
      <c r="U138" s="5" t="s">
        <v>1640</v>
      </c>
      <c r="V138" s="5" t="s">
        <v>1640</v>
      </c>
      <c r="W138" s="5" t="s">
        <v>1536</v>
      </c>
      <c r="X138" s="5" t="s">
        <v>1536</v>
      </c>
      <c r="Y138" s="4">
        <v>23</v>
      </c>
      <c r="Z138" s="4">
        <v>23</v>
      </c>
      <c r="AA138" s="4">
        <v>23</v>
      </c>
      <c r="AB138" s="4">
        <v>1</v>
      </c>
      <c r="AC138" s="4">
        <v>1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HYPERLINK("https://creighton-primo.hosted.exlibrisgroup.com/primo-explore/search?tab=default_tab&amp;search_scope=EVERYTHING&amp;vid=01CRU&amp;lang=en_US&amp;offset=0&amp;query=any,contains,991000947949702656","Catalog Record")</f>
        <v>Catalog Record</v>
      </c>
      <c r="AT138" s="6" t="str">
        <f>HYPERLINK("http://www.worldcat.org/oclc/14549965","WorldCat Record")</f>
        <v>WorldCat Record</v>
      </c>
    </row>
    <row r="139" spans="1:46" ht="40.5" customHeight="1" x14ac:dyDescent="0.25">
      <c r="A139" s="8" t="s">
        <v>58</v>
      </c>
      <c r="B139" s="2" t="s">
        <v>1641</v>
      </c>
      <c r="C139" s="2" t="s">
        <v>1642</v>
      </c>
      <c r="D139" s="2" t="s">
        <v>1643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1644</v>
      </c>
      <c r="L139" s="2" t="s">
        <v>1645</v>
      </c>
      <c r="M139" s="3" t="s">
        <v>892</v>
      </c>
      <c r="O139" s="3" t="s">
        <v>64</v>
      </c>
      <c r="P139" s="3" t="s">
        <v>1646</v>
      </c>
      <c r="R139" s="3" t="s">
        <v>1346</v>
      </c>
      <c r="S139" s="4">
        <v>6</v>
      </c>
      <c r="T139" s="4">
        <v>6</v>
      </c>
      <c r="U139" s="5" t="s">
        <v>1647</v>
      </c>
      <c r="V139" s="5" t="s">
        <v>1647</v>
      </c>
      <c r="W139" s="5" t="s">
        <v>1648</v>
      </c>
      <c r="X139" s="5" t="s">
        <v>1648</v>
      </c>
      <c r="Y139" s="4">
        <v>54</v>
      </c>
      <c r="Z139" s="4">
        <v>52</v>
      </c>
      <c r="AA139" s="4">
        <v>54</v>
      </c>
      <c r="AB139" s="4">
        <v>1</v>
      </c>
      <c r="AC139" s="4">
        <v>1</v>
      </c>
      <c r="AD139" s="4">
        <v>3</v>
      </c>
      <c r="AE139" s="4">
        <v>3</v>
      </c>
      <c r="AF139" s="4">
        <v>2</v>
      </c>
      <c r="AG139" s="4">
        <v>2</v>
      </c>
      <c r="AH139" s="4">
        <v>1</v>
      </c>
      <c r="AI139" s="4">
        <v>1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3" t="s">
        <v>58</v>
      </c>
      <c r="AQ139" s="3" t="s">
        <v>115</v>
      </c>
      <c r="AR139" s="6" t="str">
        <f>HYPERLINK("http://catalog.hathitrust.org/Record/004198190","HathiTrust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HYPERLINK("https://creighton-primo.hosted.exlibrisgroup.com/primo-explore/search?tab=default_tab&amp;search_scope=EVERYTHING&amp;vid=01CRU&amp;lang=en_US&amp;offset=0&amp;query=any,contains,991001557589702656","Catalog Record")</f>
        <v>Catalog Record</v>
      </c>
      <c r="AT139" s="6" t="str">
        <f>HYPERLINK("http://www.worldcat.org/oclc/40604657","WorldCat Record")</f>
        <v>WorldCat Record</v>
      </c>
    </row>
    <row r="140" spans="1:46" ht="40.5" customHeight="1" x14ac:dyDescent="0.25">
      <c r="A140" s="8" t="s">
        <v>58</v>
      </c>
      <c r="B140" s="2" t="s">
        <v>1649</v>
      </c>
      <c r="C140" s="2" t="s">
        <v>1650</v>
      </c>
      <c r="D140" s="2" t="s">
        <v>1651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1652</v>
      </c>
      <c r="M140" s="3" t="s">
        <v>235</v>
      </c>
      <c r="O140" s="3" t="s">
        <v>64</v>
      </c>
      <c r="P140" s="3" t="s">
        <v>65</v>
      </c>
      <c r="R140" s="3" t="s">
        <v>1346</v>
      </c>
      <c r="S140" s="4">
        <v>8</v>
      </c>
      <c r="T140" s="4">
        <v>8</v>
      </c>
      <c r="U140" s="5" t="s">
        <v>1653</v>
      </c>
      <c r="V140" s="5" t="s">
        <v>1653</v>
      </c>
      <c r="W140" s="5" t="s">
        <v>1348</v>
      </c>
      <c r="X140" s="5" t="s">
        <v>1348</v>
      </c>
      <c r="Y140" s="4">
        <v>441</v>
      </c>
      <c r="Z140" s="4">
        <v>318</v>
      </c>
      <c r="AA140" s="4">
        <v>325</v>
      </c>
      <c r="AB140" s="4">
        <v>1</v>
      </c>
      <c r="AC140" s="4">
        <v>1</v>
      </c>
      <c r="AD140" s="4">
        <v>8</v>
      </c>
      <c r="AE140" s="4">
        <v>8</v>
      </c>
      <c r="AF140" s="4">
        <v>3</v>
      </c>
      <c r="AG140" s="4">
        <v>3</v>
      </c>
      <c r="AH140" s="4">
        <v>2</v>
      </c>
      <c r="AI140" s="4">
        <v>2</v>
      </c>
      <c r="AJ140" s="4">
        <v>7</v>
      </c>
      <c r="AK140" s="4">
        <v>7</v>
      </c>
      <c r="AL140" s="4">
        <v>0</v>
      </c>
      <c r="AM140" s="4">
        <v>0</v>
      </c>
      <c r="AN140" s="4">
        <v>0</v>
      </c>
      <c r="AO140" s="4">
        <v>0</v>
      </c>
      <c r="AP140" s="3" t="s">
        <v>58</v>
      </c>
      <c r="AQ140" s="3" t="s">
        <v>115</v>
      </c>
      <c r="AR140" s="6" t="str">
        <f>HYPERLINK("http://catalog.hathitrust.org/Record/000751228","HathiTrust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HYPERLINK("https://creighton-primo.hosted.exlibrisgroup.com/primo-explore/search?tab=default_tab&amp;search_scope=EVERYTHING&amp;vid=01CRU&amp;lang=en_US&amp;offset=0&amp;query=any,contains,991000947829702656","Catalog Record")</f>
        <v>Catalog Record</v>
      </c>
      <c r="AT140" s="6" t="str">
        <f>HYPERLINK("http://www.worldcat.org/oclc/3396533","WorldCat Record")</f>
        <v>WorldCat Record</v>
      </c>
    </row>
    <row r="141" spans="1:46" ht="40.5" customHeight="1" x14ac:dyDescent="0.25">
      <c r="A141" s="8" t="s">
        <v>58</v>
      </c>
      <c r="B141" s="2" t="s">
        <v>1654</v>
      </c>
      <c r="C141" s="2" t="s">
        <v>1655</v>
      </c>
      <c r="D141" s="2" t="s">
        <v>527</v>
      </c>
      <c r="F141" s="3" t="s">
        <v>58</v>
      </c>
      <c r="G141" s="3" t="s">
        <v>59</v>
      </c>
      <c r="H141" s="3" t="s">
        <v>115</v>
      </c>
      <c r="I141" s="3" t="s">
        <v>58</v>
      </c>
      <c r="J141" s="3" t="s">
        <v>60</v>
      </c>
      <c r="K141" s="2" t="s">
        <v>528</v>
      </c>
      <c r="L141" s="2" t="s">
        <v>1656</v>
      </c>
      <c r="M141" s="3" t="s">
        <v>408</v>
      </c>
      <c r="O141" s="3" t="s">
        <v>64</v>
      </c>
      <c r="P141" s="3" t="s">
        <v>112</v>
      </c>
      <c r="Q141" s="2" t="s">
        <v>530</v>
      </c>
      <c r="R141" s="3" t="s">
        <v>1346</v>
      </c>
      <c r="S141" s="4">
        <v>6</v>
      </c>
      <c r="T141" s="4">
        <v>6</v>
      </c>
      <c r="U141" s="5" t="s">
        <v>1657</v>
      </c>
      <c r="V141" s="5" t="s">
        <v>1657</v>
      </c>
      <c r="W141" s="5" t="s">
        <v>1348</v>
      </c>
      <c r="X141" s="5" t="s">
        <v>1348</v>
      </c>
      <c r="Y141" s="4">
        <v>361</v>
      </c>
      <c r="Z141" s="4">
        <v>261</v>
      </c>
      <c r="AA141" s="4">
        <v>263</v>
      </c>
      <c r="AB141" s="4">
        <v>4</v>
      </c>
      <c r="AC141" s="4">
        <v>4</v>
      </c>
      <c r="AD141" s="4">
        <v>15</v>
      </c>
      <c r="AE141" s="4">
        <v>15</v>
      </c>
      <c r="AF141" s="4">
        <v>5</v>
      </c>
      <c r="AG141" s="4">
        <v>5</v>
      </c>
      <c r="AH141" s="4">
        <v>4</v>
      </c>
      <c r="AI141" s="4">
        <v>4</v>
      </c>
      <c r="AJ141" s="4">
        <v>6</v>
      </c>
      <c r="AK141" s="4">
        <v>6</v>
      </c>
      <c r="AL141" s="4">
        <v>2</v>
      </c>
      <c r="AM141" s="4">
        <v>2</v>
      </c>
      <c r="AN141" s="4">
        <v>0</v>
      </c>
      <c r="AO141" s="4">
        <v>0</v>
      </c>
      <c r="AP141" s="3" t="s">
        <v>58</v>
      </c>
      <c r="AQ141" s="3" t="s">
        <v>115</v>
      </c>
      <c r="AR141" s="6" t="str">
        <f>HYPERLINK("http://catalog.hathitrust.org/Record/000350318","HathiTrust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HYPERLINK("https://creighton-primo.hosted.exlibrisgroup.com/primo-explore/search?tab=default_tab&amp;search_scope=EVERYTHING&amp;vid=01CRU&amp;lang=en_US&amp;offset=0&amp;query=any,contains,991000947679702656","Catalog Record")</f>
        <v>Catalog Record</v>
      </c>
      <c r="AT141" s="6" t="str">
        <f>HYPERLINK("http://www.worldcat.org/oclc/11650496","WorldCat Record")</f>
        <v>WorldCat Record</v>
      </c>
    </row>
    <row r="142" spans="1:46" ht="40.5" customHeight="1" x14ac:dyDescent="0.25">
      <c r="A142" s="8" t="s">
        <v>58</v>
      </c>
      <c r="B142" s="2" t="s">
        <v>1658</v>
      </c>
      <c r="C142" s="2" t="s">
        <v>1659</v>
      </c>
      <c r="D142" s="2" t="s">
        <v>1660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L142" s="2" t="s">
        <v>1661</v>
      </c>
      <c r="M142" s="3" t="s">
        <v>572</v>
      </c>
      <c r="N142" s="2" t="s">
        <v>1662</v>
      </c>
      <c r="O142" s="3" t="s">
        <v>64</v>
      </c>
      <c r="P142" s="3" t="s">
        <v>65</v>
      </c>
      <c r="R142" s="3" t="s">
        <v>1346</v>
      </c>
      <c r="S142" s="4">
        <v>1</v>
      </c>
      <c r="T142" s="4">
        <v>1</v>
      </c>
      <c r="U142" s="5" t="s">
        <v>1663</v>
      </c>
      <c r="V142" s="5" t="s">
        <v>1663</v>
      </c>
      <c r="W142" s="5" t="s">
        <v>1664</v>
      </c>
      <c r="X142" s="5" t="s">
        <v>1664</v>
      </c>
      <c r="Y142" s="4">
        <v>108</v>
      </c>
      <c r="Z142" s="4">
        <v>72</v>
      </c>
      <c r="AA142" s="4">
        <v>167</v>
      </c>
      <c r="AB142" s="4">
        <v>1</v>
      </c>
      <c r="AC142" s="4">
        <v>1</v>
      </c>
      <c r="AD142" s="4">
        <v>1</v>
      </c>
      <c r="AE142" s="4">
        <v>2</v>
      </c>
      <c r="AF142" s="4">
        <v>0</v>
      </c>
      <c r="AG142" s="4">
        <v>1</v>
      </c>
      <c r="AH142" s="4">
        <v>1</v>
      </c>
      <c r="AI142" s="4">
        <v>1</v>
      </c>
      <c r="AJ142" s="4">
        <v>0</v>
      </c>
      <c r="AK142" s="4">
        <v>1</v>
      </c>
      <c r="AL142" s="4">
        <v>0</v>
      </c>
      <c r="AM142" s="4">
        <v>0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HYPERLINK("https://creighton-primo.hosted.exlibrisgroup.com/primo-explore/search?tab=default_tab&amp;search_scope=EVERYTHING&amp;vid=01CRU&amp;lang=en_US&amp;offset=0&amp;query=any,contains,991000398799702656","Catalog Record")</f>
        <v>Catalog Record</v>
      </c>
      <c r="AT142" s="6" t="str">
        <f>HYPERLINK("http://www.worldcat.org/oclc/52109678","WorldCat Record")</f>
        <v>WorldCat Record</v>
      </c>
    </row>
    <row r="143" spans="1:46" ht="40.5" customHeight="1" x14ac:dyDescent="0.25">
      <c r="A143" s="8" t="s">
        <v>58</v>
      </c>
      <c r="B143" s="2" t="s">
        <v>1665</v>
      </c>
      <c r="C143" s="2" t="s">
        <v>1666</v>
      </c>
      <c r="D143" s="2" t="s">
        <v>1667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L143" s="2" t="s">
        <v>1668</v>
      </c>
      <c r="M143" s="3" t="s">
        <v>1177</v>
      </c>
      <c r="N143" s="2" t="s">
        <v>143</v>
      </c>
      <c r="O143" s="3" t="s">
        <v>64</v>
      </c>
      <c r="P143" s="3" t="s">
        <v>1355</v>
      </c>
      <c r="R143" s="3" t="s">
        <v>1346</v>
      </c>
      <c r="S143" s="4">
        <v>13</v>
      </c>
      <c r="T143" s="4">
        <v>13</v>
      </c>
      <c r="U143" s="5" t="s">
        <v>1669</v>
      </c>
      <c r="V143" s="5" t="s">
        <v>1669</v>
      </c>
      <c r="W143" s="5" t="s">
        <v>1348</v>
      </c>
      <c r="X143" s="5" t="s">
        <v>1348</v>
      </c>
      <c r="Y143" s="4">
        <v>127</v>
      </c>
      <c r="Z143" s="4">
        <v>94</v>
      </c>
      <c r="AA143" s="4">
        <v>157</v>
      </c>
      <c r="AB143" s="4">
        <v>1</v>
      </c>
      <c r="AC143" s="4">
        <v>1</v>
      </c>
      <c r="AD143" s="4">
        <v>3</v>
      </c>
      <c r="AE143" s="4">
        <v>5</v>
      </c>
      <c r="AF143" s="4">
        <v>0</v>
      </c>
      <c r="AG143" s="4">
        <v>1</v>
      </c>
      <c r="AH143" s="4">
        <v>0</v>
      </c>
      <c r="AI143" s="4">
        <v>1</v>
      </c>
      <c r="AJ143" s="4">
        <v>3</v>
      </c>
      <c r="AK143" s="4">
        <v>4</v>
      </c>
      <c r="AL143" s="4">
        <v>0</v>
      </c>
      <c r="AM143" s="4">
        <v>0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HYPERLINK("https://creighton-primo.hosted.exlibrisgroup.com/primo-explore/search?tab=default_tab&amp;search_scope=EVERYTHING&amp;vid=01CRU&amp;lang=en_US&amp;offset=0&amp;query=any,contains,991000947719702656","Catalog Record")</f>
        <v>Catalog Record</v>
      </c>
      <c r="AT143" s="6" t="str">
        <f>HYPERLINK("http://www.worldcat.org/oclc/14692695","WorldCat Record")</f>
        <v>WorldCat Record</v>
      </c>
    </row>
    <row r="144" spans="1:46" ht="40.5" customHeight="1" x14ac:dyDescent="0.25">
      <c r="A144" s="8" t="s">
        <v>58</v>
      </c>
      <c r="B144" s="2" t="s">
        <v>1670</v>
      </c>
      <c r="C144" s="2" t="s">
        <v>1671</v>
      </c>
      <c r="D144" s="2" t="s">
        <v>1672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1673</v>
      </c>
      <c r="L144" s="2" t="s">
        <v>1674</v>
      </c>
      <c r="M144" s="3" t="s">
        <v>1122</v>
      </c>
      <c r="N144" s="2" t="s">
        <v>1675</v>
      </c>
      <c r="O144" s="3" t="s">
        <v>64</v>
      </c>
      <c r="P144" s="3" t="s">
        <v>1512</v>
      </c>
      <c r="R144" s="3" t="s">
        <v>1346</v>
      </c>
      <c r="S144" s="4">
        <v>2</v>
      </c>
      <c r="T144" s="4">
        <v>2</v>
      </c>
      <c r="U144" s="5" t="s">
        <v>1676</v>
      </c>
      <c r="V144" s="5" t="s">
        <v>1676</v>
      </c>
      <c r="W144" s="5" t="s">
        <v>1676</v>
      </c>
      <c r="X144" s="5" t="s">
        <v>1676</v>
      </c>
      <c r="Y144" s="4">
        <v>192</v>
      </c>
      <c r="Z144" s="4">
        <v>121</v>
      </c>
      <c r="AA144" s="4">
        <v>349</v>
      </c>
      <c r="AB144" s="4">
        <v>2</v>
      </c>
      <c r="AC144" s="4">
        <v>2</v>
      </c>
      <c r="AD144" s="4">
        <v>3</v>
      </c>
      <c r="AE144" s="4">
        <v>6</v>
      </c>
      <c r="AF144" s="4">
        <v>0</v>
      </c>
      <c r="AG144" s="4">
        <v>0</v>
      </c>
      <c r="AH144" s="4">
        <v>0</v>
      </c>
      <c r="AI144" s="4">
        <v>2</v>
      </c>
      <c r="AJ144" s="4">
        <v>2</v>
      </c>
      <c r="AK144" s="4">
        <v>3</v>
      </c>
      <c r="AL144" s="4">
        <v>1</v>
      </c>
      <c r="AM144" s="4">
        <v>1</v>
      </c>
      <c r="AN144" s="4">
        <v>0</v>
      </c>
      <c r="AO144" s="4">
        <v>1</v>
      </c>
      <c r="AP144" s="3" t="s">
        <v>58</v>
      </c>
      <c r="AQ144" s="3" t="s">
        <v>115</v>
      </c>
      <c r="AR144" s="6" t="str">
        <f>HYPERLINK("http://catalog.hathitrust.org/Record/001828265","HathiTrust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HYPERLINK("https://creighton-primo.hosted.exlibrisgroup.com/primo-explore/search?tab=default_tab&amp;search_scope=EVERYTHING&amp;vid=01CRU&amp;lang=en_US&amp;offset=0&amp;query=any,contains,991001453649702656","Catalog Record")</f>
        <v>Catalog Record</v>
      </c>
      <c r="AT144" s="6" t="str">
        <f>HYPERLINK("http://www.worldcat.org/oclc/22542134","WorldCat Record")</f>
        <v>WorldCat Record</v>
      </c>
    </row>
    <row r="145" spans="1:46" ht="40.5" customHeight="1" x14ac:dyDescent="0.25">
      <c r="A145" s="8" t="s">
        <v>58</v>
      </c>
      <c r="B145" s="2" t="s">
        <v>1677</v>
      </c>
      <c r="C145" s="2" t="s">
        <v>1678</v>
      </c>
      <c r="D145" s="2" t="s">
        <v>1679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L145" s="2" t="s">
        <v>1680</v>
      </c>
      <c r="M145" s="3" t="s">
        <v>189</v>
      </c>
      <c r="N145" s="2" t="s">
        <v>1681</v>
      </c>
      <c r="O145" s="3" t="s">
        <v>64</v>
      </c>
      <c r="P145" s="3" t="s">
        <v>585</v>
      </c>
      <c r="R145" s="3" t="s">
        <v>1346</v>
      </c>
      <c r="S145" s="4">
        <v>5</v>
      </c>
      <c r="T145" s="4">
        <v>5</v>
      </c>
      <c r="U145" s="5" t="s">
        <v>1682</v>
      </c>
      <c r="V145" s="5" t="s">
        <v>1682</v>
      </c>
      <c r="W145" s="5" t="s">
        <v>1683</v>
      </c>
      <c r="X145" s="5" t="s">
        <v>1683</v>
      </c>
      <c r="Y145" s="4">
        <v>29</v>
      </c>
      <c r="Z145" s="4">
        <v>15</v>
      </c>
      <c r="AA145" s="4">
        <v>15</v>
      </c>
      <c r="AB145" s="4">
        <v>1</v>
      </c>
      <c r="AC145" s="4">
        <v>1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HYPERLINK("https://creighton-primo.hosted.exlibrisgroup.com/primo-explore/search?tab=default_tab&amp;search_scope=EVERYTHING&amp;vid=01CRU&amp;lang=en_US&amp;offset=0&amp;query=any,contains,991001344199702656","Catalog Record")</f>
        <v>Catalog Record</v>
      </c>
      <c r="AT145" s="6" t="str">
        <f>HYPERLINK("http://www.worldcat.org/oclc/26733640","WorldCat Record")</f>
        <v>WorldCat Record</v>
      </c>
    </row>
    <row r="146" spans="1:46" ht="40.5" customHeight="1" x14ac:dyDescent="0.25">
      <c r="A146" s="8" t="s">
        <v>58</v>
      </c>
      <c r="B146" s="2" t="s">
        <v>1684</v>
      </c>
      <c r="C146" s="2" t="s">
        <v>1685</v>
      </c>
      <c r="D146" s="2" t="s">
        <v>1686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1687</v>
      </c>
      <c r="L146" s="2" t="s">
        <v>1688</v>
      </c>
      <c r="M146" s="3" t="s">
        <v>1122</v>
      </c>
      <c r="N146" s="2" t="s">
        <v>143</v>
      </c>
      <c r="O146" s="3" t="s">
        <v>64</v>
      </c>
      <c r="P146" s="3" t="s">
        <v>65</v>
      </c>
      <c r="R146" s="3" t="s">
        <v>1346</v>
      </c>
      <c r="S146" s="4">
        <v>3</v>
      </c>
      <c r="T146" s="4">
        <v>3</v>
      </c>
      <c r="U146" s="5" t="s">
        <v>1689</v>
      </c>
      <c r="V146" s="5" t="s">
        <v>1689</v>
      </c>
      <c r="W146" s="5" t="s">
        <v>1690</v>
      </c>
      <c r="X146" s="5" t="s">
        <v>1690</v>
      </c>
      <c r="Y146" s="4">
        <v>61</v>
      </c>
      <c r="Z146" s="4">
        <v>48</v>
      </c>
      <c r="AA146" s="4">
        <v>262</v>
      </c>
      <c r="AB146" s="4">
        <v>2</v>
      </c>
      <c r="AC146" s="4">
        <v>2</v>
      </c>
      <c r="AD146" s="4">
        <v>1</v>
      </c>
      <c r="AE146" s="4">
        <v>5</v>
      </c>
      <c r="AF146" s="4">
        <v>0</v>
      </c>
      <c r="AG146" s="4">
        <v>3</v>
      </c>
      <c r="AH146" s="4">
        <v>0</v>
      </c>
      <c r="AI146" s="4">
        <v>0</v>
      </c>
      <c r="AJ146" s="4">
        <v>0</v>
      </c>
      <c r="AK146" s="4">
        <v>3</v>
      </c>
      <c r="AL146" s="4">
        <v>1</v>
      </c>
      <c r="AM146" s="4">
        <v>1</v>
      </c>
      <c r="AN146" s="4">
        <v>0</v>
      </c>
      <c r="AO146" s="4">
        <v>0</v>
      </c>
      <c r="AP146" s="3" t="s">
        <v>58</v>
      </c>
      <c r="AQ146" s="3" t="s">
        <v>115</v>
      </c>
      <c r="AR146" s="6" t="str">
        <f>HYPERLINK("http://catalog.hathitrust.org/Record/002204544","HathiTrust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HYPERLINK("https://creighton-primo.hosted.exlibrisgroup.com/primo-explore/search?tab=default_tab&amp;search_scope=EVERYTHING&amp;vid=01CRU&amp;lang=en_US&amp;offset=0&amp;query=any,contains,991000680929702656","Catalog Record")</f>
        <v>Catalog Record</v>
      </c>
      <c r="AT146" s="6" t="str">
        <f>HYPERLINK("http://www.worldcat.org/oclc/19672212","WorldCat Record")</f>
        <v>WorldCat Record</v>
      </c>
    </row>
    <row r="147" spans="1:46" ht="40.5" customHeight="1" x14ac:dyDescent="0.25">
      <c r="A147" s="8" t="s">
        <v>58</v>
      </c>
      <c r="B147" s="2" t="s">
        <v>1691</v>
      </c>
      <c r="C147" s="2" t="s">
        <v>1692</v>
      </c>
      <c r="D147" s="2" t="s">
        <v>1693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L147" s="2" t="s">
        <v>1694</v>
      </c>
      <c r="M147" s="3" t="s">
        <v>993</v>
      </c>
      <c r="N147" s="2" t="s">
        <v>221</v>
      </c>
      <c r="O147" s="3" t="s">
        <v>64</v>
      </c>
      <c r="P147" s="3" t="s">
        <v>144</v>
      </c>
      <c r="R147" s="3" t="s">
        <v>1346</v>
      </c>
      <c r="S147" s="4">
        <v>5</v>
      </c>
      <c r="T147" s="4">
        <v>5</v>
      </c>
      <c r="U147" s="5" t="s">
        <v>1695</v>
      </c>
      <c r="V147" s="5" t="s">
        <v>1695</v>
      </c>
      <c r="W147" s="5" t="s">
        <v>1696</v>
      </c>
      <c r="X147" s="5" t="s">
        <v>1696</v>
      </c>
      <c r="Y147" s="4">
        <v>136</v>
      </c>
      <c r="Z147" s="4">
        <v>98</v>
      </c>
      <c r="AA147" s="4">
        <v>225</v>
      </c>
      <c r="AB147" s="4">
        <v>2</v>
      </c>
      <c r="AC147" s="4">
        <v>2</v>
      </c>
      <c r="AD147" s="4">
        <v>3</v>
      </c>
      <c r="AE147" s="4">
        <v>8</v>
      </c>
      <c r="AF147" s="4">
        <v>1</v>
      </c>
      <c r="AG147" s="4">
        <v>5</v>
      </c>
      <c r="AH147" s="4">
        <v>2</v>
      </c>
      <c r="AI147" s="4">
        <v>2</v>
      </c>
      <c r="AJ147" s="4">
        <v>0</v>
      </c>
      <c r="AK147" s="4">
        <v>2</v>
      </c>
      <c r="AL147" s="4">
        <v>1</v>
      </c>
      <c r="AM147" s="4">
        <v>1</v>
      </c>
      <c r="AN147" s="4">
        <v>0</v>
      </c>
      <c r="AO147" s="4">
        <v>0</v>
      </c>
      <c r="AP147" s="3" t="s">
        <v>58</v>
      </c>
      <c r="AQ147" s="3" t="s">
        <v>115</v>
      </c>
      <c r="AR147" s="6" t="str">
        <f>HYPERLINK("http://catalog.hathitrust.org/Record/004026559","HathiTrust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HYPERLINK("https://creighton-primo.hosted.exlibrisgroup.com/primo-explore/search?tab=default_tab&amp;search_scope=EVERYTHING&amp;vid=01CRU&amp;lang=en_US&amp;offset=0&amp;query=any,contains,991000414209702656","Catalog Record")</f>
        <v>Catalog Record</v>
      </c>
      <c r="AT147" s="6" t="str">
        <f>HYPERLINK("http://www.worldcat.org/oclc/39891402","WorldCat Record")</f>
        <v>WorldCat Record</v>
      </c>
    </row>
    <row r="148" spans="1:46" ht="40.5" customHeight="1" x14ac:dyDescent="0.25">
      <c r="A148" s="8" t="s">
        <v>58</v>
      </c>
      <c r="B148" s="2" t="s">
        <v>1697</v>
      </c>
      <c r="C148" s="2" t="s">
        <v>1698</v>
      </c>
      <c r="D148" s="2" t="s">
        <v>1699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1700</v>
      </c>
      <c r="L148" s="2" t="s">
        <v>1701</v>
      </c>
      <c r="M148" s="3" t="s">
        <v>1702</v>
      </c>
      <c r="N148" s="2" t="s">
        <v>936</v>
      </c>
      <c r="O148" s="3" t="s">
        <v>64</v>
      </c>
      <c r="P148" s="3" t="s">
        <v>144</v>
      </c>
      <c r="R148" s="3" t="s">
        <v>1346</v>
      </c>
      <c r="S148" s="4">
        <v>13</v>
      </c>
      <c r="T148" s="4">
        <v>13</v>
      </c>
      <c r="U148" s="5" t="s">
        <v>1703</v>
      </c>
      <c r="V148" s="5" t="s">
        <v>1703</v>
      </c>
      <c r="W148" s="5" t="s">
        <v>1536</v>
      </c>
      <c r="X148" s="5" t="s">
        <v>1536</v>
      </c>
      <c r="Y148" s="4">
        <v>76</v>
      </c>
      <c r="Z148" s="4">
        <v>60</v>
      </c>
      <c r="AA148" s="4">
        <v>97</v>
      </c>
      <c r="AB148" s="4">
        <v>2</v>
      </c>
      <c r="AC148" s="4">
        <v>2</v>
      </c>
      <c r="AD148" s="4">
        <v>5</v>
      </c>
      <c r="AE148" s="4">
        <v>8</v>
      </c>
      <c r="AF148" s="4">
        <v>2</v>
      </c>
      <c r="AG148" s="4">
        <v>5</v>
      </c>
      <c r="AH148" s="4">
        <v>2</v>
      </c>
      <c r="AI148" s="4">
        <v>3</v>
      </c>
      <c r="AJ148" s="4">
        <v>0</v>
      </c>
      <c r="AK148" s="4">
        <v>1</v>
      </c>
      <c r="AL148" s="4">
        <v>1</v>
      </c>
      <c r="AM148" s="4">
        <v>1</v>
      </c>
      <c r="AN148" s="4">
        <v>0</v>
      </c>
      <c r="AO148" s="4">
        <v>0</v>
      </c>
      <c r="AP148" s="3" t="s">
        <v>58</v>
      </c>
      <c r="AQ148" s="3" t="s">
        <v>58</v>
      </c>
      <c r="AS148" s="6" t="str">
        <f>HYPERLINK("https://creighton-primo.hosted.exlibrisgroup.com/primo-explore/search?tab=default_tab&amp;search_scope=EVERYTHING&amp;vid=01CRU&amp;lang=en_US&amp;offset=0&amp;query=any,contains,991000948529702656","Catalog Record")</f>
        <v>Catalog Record</v>
      </c>
      <c r="AT148" s="6" t="str">
        <f>HYPERLINK("http://www.worldcat.org/oclc/1659685","WorldCat Record")</f>
        <v>WorldCat Record</v>
      </c>
    </row>
    <row r="149" spans="1:46" ht="40.5" customHeight="1" x14ac:dyDescent="0.25">
      <c r="A149" s="8" t="s">
        <v>58</v>
      </c>
      <c r="B149" s="2" t="s">
        <v>1704</v>
      </c>
      <c r="C149" s="2" t="s">
        <v>1705</v>
      </c>
      <c r="D149" s="2" t="s">
        <v>1706</v>
      </c>
      <c r="F149" s="3" t="s">
        <v>58</v>
      </c>
      <c r="G149" s="3" t="s">
        <v>59</v>
      </c>
      <c r="H149" s="3" t="s">
        <v>58</v>
      </c>
      <c r="I149" s="3" t="s">
        <v>115</v>
      </c>
      <c r="J149" s="3" t="s">
        <v>60</v>
      </c>
      <c r="K149" s="2" t="s">
        <v>1707</v>
      </c>
      <c r="L149" s="2" t="s">
        <v>1708</v>
      </c>
      <c r="M149" s="3" t="s">
        <v>515</v>
      </c>
      <c r="N149" s="2" t="s">
        <v>1534</v>
      </c>
      <c r="O149" s="3" t="s">
        <v>64</v>
      </c>
      <c r="P149" s="3" t="s">
        <v>1355</v>
      </c>
      <c r="R149" s="3" t="s">
        <v>1346</v>
      </c>
      <c r="S149" s="4">
        <v>35</v>
      </c>
      <c r="T149" s="4">
        <v>35</v>
      </c>
      <c r="U149" s="5" t="s">
        <v>1709</v>
      </c>
      <c r="V149" s="5" t="s">
        <v>1709</v>
      </c>
      <c r="W149" s="5" t="s">
        <v>1436</v>
      </c>
      <c r="X149" s="5" t="s">
        <v>1436</v>
      </c>
      <c r="Y149" s="4">
        <v>121</v>
      </c>
      <c r="Z149" s="4">
        <v>94</v>
      </c>
      <c r="AA149" s="4">
        <v>461</v>
      </c>
      <c r="AB149" s="4">
        <v>1</v>
      </c>
      <c r="AC149" s="4">
        <v>4</v>
      </c>
      <c r="AD149" s="4">
        <v>2</v>
      </c>
      <c r="AE149" s="4">
        <v>17</v>
      </c>
      <c r="AF149" s="4">
        <v>1</v>
      </c>
      <c r="AG149" s="4">
        <v>11</v>
      </c>
      <c r="AH149" s="4">
        <v>1</v>
      </c>
      <c r="AI149" s="4">
        <v>4</v>
      </c>
      <c r="AJ149" s="4">
        <v>0</v>
      </c>
      <c r="AK149" s="4">
        <v>5</v>
      </c>
      <c r="AL149" s="4">
        <v>0</v>
      </c>
      <c r="AM149" s="4">
        <v>2</v>
      </c>
      <c r="AN149" s="4">
        <v>0</v>
      </c>
      <c r="AO149" s="4">
        <v>0</v>
      </c>
      <c r="AP149" s="3" t="s">
        <v>58</v>
      </c>
      <c r="AQ149" s="3" t="s">
        <v>115</v>
      </c>
      <c r="AR149" s="6" t="str">
        <f>HYPERLINK("http://catalog.hathitrust.org/Record/000378449","HathiTrust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HYPERLINK("https://creighton-primo.hosted.exlibrisgroup.com/primo-explore/search?tab=default_tab&amp;search_scope=EVERYTHING&amp;vid=01CRU&amp;lang=en_US&amp;offset=0&amp;query=any,contains,991000747399702656","Catalog Record")</f>
        <v>Catalog Record</v>
      </c>
      <c r="AT149" s="6" t="str">
        <f>HYPERLINK("http://www.worldcat.org/oclc/12237530","WorldCat Record")</f>
        <v>WorldCat Record</v>
      </c>
    </row>
    <row r="150" spans="1:46" ht="40.5" customHeight="1" x14ac:dyDescent="0.25">
      <c r="A150" s="8" t="s">
        <v>58</v>
      </c>
      <c r="B150" s="2" t="s">
        <v>1710</v>
      </c>
      <c r="C150" s="2" t="s">
        <v>1711</v>
      </c>
      <c r="D150" s="2" t="s">
        <v>1706</v>
      </c>
      <c r="F150" s="3" t="s">
        <v>58</v>
      </c>
      <c r="G150" s="3" t="s">
        <v>59</v>
      </c>
      <c r="H150" s="3" t="s">
        <v>58</v>
      </c>
      <c r="I150" s="3" t="s">
        <v>115</v>
      </c>
      <c r="J150" s="3" t="s">
        <v>60</v>
      </c>
      <c r="K150" s="2" t="s">
        <v>1707</v>
      </c>
      <c r="L150" s="2" t="s">
        <v>1712</v>
      </c>
      <c r="M150" s="3" t="s">
        <v>142</v>
      </c>
      <c r="N150" s="2" t="s">
        <v>1675</v>
      </c>
      <c r="O150" s="3" t="s">
        <v>64</v>
      </c>
      <c r="P150" s="3" t="s">
        <v>144</v>
      </c>
      <c r="R150" s="3" t="s">
        <v>1346</v>
      </c>
      <c r="S150" s="4">
        <v>51</v>
      </c>
      <c r="T150" s="4">
        <v>51</v>
      </c>
      <c r="U150" s="5" t="s">
        <v>1703</v>
      </c>
      <c r="V150" s="5" t="s">
        <v>1703</v>
      </c>
      <c r="W150" s="5" t="s">
        <v>1713</v>
      </c>
      <c r="X150" s="5" t="s">
        <v>1713</v>
      </c>
      <c r="Y150" s="4">
        <v>103</v>
      </c>
      <c r="Z150" s="4">
        <v>64</v>
      </c>
      <c r="AA150" s="4">
        <v>461</v>
      </c>
      <c r="AB150" s="4">
        <v>1</v>
      </c>
      <c r="AC150" s="4">
        <v>4</v>
      </c>
      <c r="AD150" s="4">
        <v>3</v>
      </c>
      <c r="AE150" s="4">
        <v>17</v>
      </c>
      <c r="AF150" s="4">
        <v>2</v>
      </c>
      <c r="AG150" s="4">
        <v>11</v>
      </c>
      <c r="AH150" s="4">
        <v>1</v>
      </c>
      <c r="AI150" s="4">
        <v>4</v>
      </c>
      <c r="AJ150" s="4">
        <v>1</v>
      </c>
      <c r="AK150" s="4">
        <v>5</v>
      </c>
      <c r="AL150" s="4">
        <v>0</v>
      </c>
      <c r="AM150" s="4">
        <v>2</v>
      </c>
      <c r="AN150" s="4">
        <v>0</v>
      </c>
      <c r="AO150" s="4">
        <v>0</v>
      </c>
      <c r="AP150" s="3" t="s">
        <v>58</v>
      </c>
      <c r="AQ150" s="3" t="s">
        <v>115</v>
      </c>
      <c r="AR150" s="6" t="str">
        <f>HYPERLINK("http://catalog.hathitrust.org/Record/002473741","HathiTrust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HYPERLINK("https://creighton-primo.hosted.exlibrisgroup.com/primo-explore/search?tab=default_tab&amp;search_scope=EVERYTHING&amp;vid=01CRU&amp;lang=en_US&amp;offset=0&amp;query=any,contains,991000944289702656","Catalog Record")</f>
        <v>Catalog Record</v>
      </c>
      <c r="AT150" s="6" t="str">
        <f>HYPERLINK("http://www.worldcat.org/oclc/22596271","WorldCat Record")</f>
        <v>WorldCat Record</v>
      </c>
    </row>
    <row r="151" spans="1:46" ht="40.5" customHeight="1" x14ac:dyDescent="0.25">
      <c r="A151" s="8" t="s">
        <v>58</v>
      </c>
      <c r="B151" s="2" t="s">
        <v>1714</v>
      </c>
      <c r="C151" s="2" t="s">
        <v>1715</v>
      </c>
      <c r="D151" s="2" t="s">
        <v>1716</v>
      </c>
      <c r="F151" s="3" t="s">
        <v>58</v>
      </c>
      <c r="G151" s="3" t="s">
        <v>59</v>
      </c>
      <c r="H151" s="3" t="s">
        <v>58</v>
      </c>
      <c r="I151" s="3" t="s">
        <v>115</v>
      </c>
      <c r="J151" s="3" t="s">
        <v>60</v>
      </c>
      <c r="K151" s="2" t="s">
        <v>1707</v>
      </c>
      <c r="L151" s="2" t="s">
        <v>1717</v>
      </c>
      <c r="M151" s="3" t="s">
        <v>306</v>
      </c>
      <c r="N151" s="2" t="s">
        <v>1718</v>
      </c>
      <c r="O151" s="3" t="s">
        <v>64</v>
      </c>
      <c r="P151" s="3" t="s">
        <v>643</v>
      </c>
      <c r="R151" s="3" t="s">
        <v>1346</v>
      </c>
      <c r="S151" s="4">
        <v>93</v>
      </c>
      <c r="T151" s="4">
        <v>93</v>
      </c>
      <c r="U151" s="5" t="s">
        <v>1719</v>
      </c>
      <c r="V151" s="5" t="s">
        <v>1719</v>
      </c>
      <c r="W151" s="5" t="s">
        <v>658</v>
      </c>
      <c r="X151" s="5" t="s">
        <v>658</v>
      </c>
      <c r="Y151" s="4">
        <v>133</v>
      </c>
      <c r="Z151" s="4">
        <v>82</v>
      </c>
      <c r="AA151" s="4">
        <v>461</v>
      </c>
      <c r="AB151" s="4">
        <v>1</v>
      </c>
      <c r="AC151" s="4">
        <v>4</v>
      </c>
      <c r="AD151" s="4">
        <v>1</v>
      </c>
      <c r="AE151" s="4">
        <v>17</v>
      </c>
      <c r="AF151" s="4">
        <v>1</v>
      </c>
      <c r="AG151" s="4">
        <v>11</v>
      </c>
      <c r="AH151" s="4">
        <v>0</v>
      </c>
      <c r="AI151" s="4">
        <v>4</v>
      </c>
      <c r="AJ151" s="4">
        <v>0</v>
      </c>
      <c r="AK151" s="4">
        <v>5</v>
      </c>
      <c r="AL151" s="4">
        <v>0</v>
      </c>
      <c r="AM151" s="4">
        <v>2</v>
      </c>
      <c r="AN151" s="4">
        <v>0</v>
      </c>
      <c r="AO151" s="4">
        <v>0</v>
      </c>
      <c r="AP151" s="3" t="s">
        <v>58</v>
      </c>
      <c r="AQ151" s="3" t="s">
        <v>115</v>
      </c>
      <c r="AR151" s="6" t="str">
        <f>HYPERLINK("http://catalog.hathitrust.org/Record/003022923","HathiTrust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HYPERLINK("https://creighton-primo.hosted.exlibrisgroup.com/primo-explore/search?tab=default_tab&amp;search_scope=EVERYTHING&amp;vid=01CRU&amp;lang=en_US&amp;offset=0&amp;query=any,contains,991000835919702656","Catalog Record")</f>
        <v>Catalog Record</v>
      </c>
      <c r="AT151" s="6" t="str">
        <f>HYPERLINK("http://www.worldcat.org/oclc/32968804","WorldCat Record")</f>
        <v>WorldCat Record</v>
      </c>
    </row>
    <row r="152" spans="1:46" ht="40.5" customHeight="1" x14ac:dyDescent="0.25">
      <c r="A152" s="8" t="s">
        <v>58</v>
      </c>
      <c r="B152" s="2" t="s">
        <v>1720</v>
      </c>
      <c r="C152" s="2" t="s">
        <v>1721</v>
      </c>
      <c r="D152" s="2" t="s">
        <v>1722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1723</v>
      </c>
      <c r="L152" s="2" t="s">
        <v>1724</v>
      </c>
      <c r="M152" s="3" t="s">
        <v>1725</v>
      </c>
      <c r="N152" s="2" t="s">
        <v>1726</v>
      </c>
      <c r="O152" s="3" t="s">
        <v>64</v>
      </c>
      <c r="P152" s="3" t="s">
        <v>265</v>
      </c>
      <c r="R152" s="3" t="s">
        <v>1346</v>
      </c>
      <c r="S152" s="4">
        <v>5</v>
      </c>
      <c r="T152" s="4">
        <v>5</v>
      </c>
      <c r="U152" s="5" t="s">
        <v>1727</v>
      </c>
      <c r="V152" s="5" t="s">
        <v>1727</v>
      </c>
      <c r="W152" s="5" t="s">
        <v>1348</v>
      </c>
      <c r="X152" s="5" t="s">
        <v>1348</v>
      </c>
      <c r="Y152" s="4">
        <v>7</v>
      </c>
      <c r="Z152" s="4">
        <v>7</v>
      </c>
      <c r="AA152" s="4">
        <v>69</v>
      </c>
      <c r="AB152" s="4">
        <v>1</v>
      </c>
      <c r="AC152" s="4">
        <v>1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HYPERLINK("https://creighton-primo.hosted.exlibrisgroup.com/primo-explore/search?tab=default_tab&amp;search_scope=EVERYTHING&amp;vid=01CRU&amp;lang=en_US&amp;offset=0&amp;query=any,contains,991000948609702656","Catalog Record")</f>
        <v>Catalog Record</v>
      </c>
      <c r="AT152" s="6" t="str">
        <f>HYPERLINK("http://www.worldcat.org/oclc/3754693","WorldCat Record")</f>
        <v>WorldCat Record</v>
      </c>
    </row>
    <row r="153" spans="1:46" ht="40.5" customHeight="1" x14ac:dyDescent="0.25">
      <c r="A153" s="8" t="s">
        <v>58</v>
      </c>
      <c r="B153" s="2" t="s">
        <v>1728</v>
      </c>
      <c r="C153" s="2" t="s">
        <v>1729</v>
      </c>
      <c r="D153" s="2" t="s">
        <v>1730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1731</v>
      </c>
      <c r="L153" s="2" t="s">
        <v>1732</v>
      </c>
      <c r="M153" s="3" t="s">
        <v>424</v>
      </c>
      <c r="O153" s="3" t="s">
        <v>64</v>
      </c>
      <c r="P153" s="3" t="s">
        <v>291</v>
      </c>
      <c r="R153" s="3" t="s">
        <v>1346</v>
      </c>
      <c r="S153" s="4">
        <v>5</v>
      </c>
      <c r="T153" s="4">
        <v>5</v>
      </c>
      <c r="U153" s="5" t="s">
        <v>1733</v>
      </c>
      <c r="V153" s="5" t="s">
        <v>1733</v>
      </c>
      <c r="W153" s="5" t="s">
        <v>1734</v>
      </c>
      <c r="X153" s="5" t="s">
        <v>1734</v>
      </c>
      <c r="Y153" s="4">
        <v>82</v>
      </c>
      <c r="Z153" s="4">
        <v>61</v>
      </c>
      <c r="AA153" s="4">
        <v>64</v>
      </c>
      <c r="AB153" s="4">
        <v>1</v>
      </c>
      <c r="AC153" s="4">
        <v>1</v>
      </c>
      <c r="AD153" s="4">
        <v>2</v>
      </c>
      <c r="AE153" s="4">
        <v>2</v>
      </c>
      <c r="AF153" s="4">
        <v>1</v>
      </c>
      <c r="AG153" s="4">
        <v>1</v>
      </c>
      <c r="AH153" s="4">
        <v>0</v>
      </c>
      <c r="AI153" s="4">
        <v>0</v>
      </c>
      <c r="AJ153" s="4">
        <v>1</v>
      </c>
      <c r="AK153" s="4">
        <v>1</v>
      </c>
      <c r="AL153" s="4">
        <v>0</v>
      </c>
      <c r="AM153" s="4">
        <v>0</v>
      </c>
      <c r="AN153" s="4">
        <v>0</v>
      </c>
      <c r="AO153" s="4">
        <v>0</v>
      </c>
      <c r="AP153" s="3" t="s">
        <v>58</v>
      </c>
      <c r="AQ153" s="3" t="s">
        <v>115</v>
      </c>
      <c r="AR153" s="6" t="str">
        <f>HYPERLINK("http://catalog.hathitrust.org/Record/002905361","HathiTrust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HYPERLINK("https://creighton-primo.hosted.exlibrisgroup.com/primo-explore/search?tab=default_tab&amp;search_scope=EVERYTHING&amp;vid=01CRU&amp;lang=en_US&amp;offset=0&amp;query=any,contains,991001283619702656","Catalog Record")</f>
        <v>Catalog Record</v>
      </c>
      <c r="AT153" s="6" t="str">
        <f>HYPERLINK("http://www.worldcat.org/oclc/29358612","WorldCat Record")</f>
        <v>WorldCat Record</v>
      </c>
    </row>
    <row r="154" spans="1:46" ht="40.5" customHeight="1" x14ac:dyDescent="0.25">
      <c r="A154" s="8" t="s">
        <v>58</v>
      </c>
      <c r="B154" s="2" t="s">
        <v>1735</v>
      </c>
      <c r="C154" s="2" t="s">
        <v>1736</v>
      </c>
      <c r="D154" s="2" t="s">
        <v>1737</v>
      </c>
      <c r="F154" s="3" t="s">
        <v>58</v>
      </c>
      <c r="G154" s="3" t="s">
        <v>59</v>
      </c>
      <c r="H154" s="3" t="s">
        <v>58</v>
      </c>
      <c r="I154" s="3" t="s">
        <v>115</v>
      </c>
      <c r="J154" s="3" t="s">
        <v>60</v>
      </c>
      <c r="K154" s="2" t="s">
        <v>1738</v>
      </c>
      <c r="L154" s="2" t="s">
        <v>1739</v>
      </c>
      <c r="M154" s="3" t="s">
        <v>1177</v>
      </c>
      <c r="N154" s="2" t="s">
        <v>936</v>
      </c>
      <c r="O154" s="3" t="s">
        <v>64</v>
      </c>
      <c r="P154" s="3" t="s">
        <v>65</v>
      </c>
      <c r="Q154" s="2" t="s">
        <v>1740</v>
      </c>
      <c r="R154" s="3" t="s">
        <v>1346</v>
      </c>
      <c r="S154" s="4">
        <v>6</v>
      </c>
      <c r="T154" s="4">
        <v>6</v>
      </c>
      <c r="U154" s="5" t="s">
        <v>1741</v>
      </c>
      <c r="V154" s="5" t="s">
        <v>1741</v>
      </c>
      <c r="W154" s="5" t="s">
        <v>1742</v>
      </c>
      <c r="X154" s="5" t="s">
        <v>1742</v>
      </c>
      <c r="Y154" s="4">
        <v>148</v>
      </c>
      <c r="Z154" s="4">
        <v>131</v>
      </c>
      <c r="AA154" s="4">
        <v>183</v>
      </c>
      <c r="AB154" s="4">
        <v>1</v>
      </c>
      <c r="AC154" s="4">
        <v>2</v>
      </c>
      <c r="AD154" s="4">
        <v>4</v>
      </c>
      <c r="AE154" s="4">
        <v>6</v>
      </c>
      <c r="AF154" s="4">
        <v>0</v>
      </c>
      <c r="AG154" s="4">
        <v>1</v>
      </c>
      <c r="AH154" s="4">
        <v>2</v>
      </c>
      <c r="AI154" s="4">
        <v>3</v>
      </c>
      <c r="AJ154" s="4">
        <v>2</v>
      </c>
      <c r="AK154" s="4">
        <v>3</v>
      </c>
      <c r="AL154" s="4">
        <v>0</v>
      </c>
      <c r="AM154" s="4">
        <v>0</v>
      </c>
      <c r="AN154" s="4">
        <v>0</v>
      </c>
      <c r="AO154" s="4">
        <v>0</v>
      </c>
      <c r="AP154" s="3" t="s">
        <v>58</v>
      </c>
      <c r="AQ154" s="3" t="s">
        <v>115</v>
      </c>
      <c r="AR154" s="6" t="str">
        <f>HYPERLINK("http://catalog.hathitrust.org/Record/002494654","HathiTrust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HYPERLINK("https://creighton-primo.hosted.exlibrisgroup.com/primo-explore/search?tab=default_tab&amp;search_scope=EVERYTHING&amp;vid=01CRU&amp;lang=en_US&amp;offset=0&amp;query=any,contains,991001233529702656","Catalog Record")</f>
        <v>Catalog Record</v>
      </c>
      <c r="AT154" s="6" t="str">
        <f>HYPERLINK("http://www.worldcat.org/oclc/17951997","WorldCat Record")</f>
        <v>WorldCat Record</v>
      </c>
    </row>
    <row r="155" spans="1:46" ht="40.5" customHeight="1" x14ac:dyDescent="0.25">
      <c r="A155" s="8" t="s">
        <v>58</v>
      </c>
      <c r="B155" s="2" t="s">
        <v>1743</v>
      </c>
      <c r="C155" s="2" t="s">
        <v>1744</v>
      </c>
      <c r="D155" s="2" t="s">
        <v>1745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1746</v>
      </c>
      <c r="L155" s="2" t="s">
        <v>1747</v>
      </c>
      <c r="M155" s="3" t="s">
        <v>1414</v>
      </c>
      <c r="N155" s="2" t="s">
        <v>143</v>
      </c>
      <c r="O155" s="3" t="s">
        <v>64</v>
      </c>
      <c r="P155" s="3" t="s">
        <v>1406</v>
      </c>
      <c r="R155" s="3" t="s">
        <v>1346</v>
      </c>
      <c r="S155" s="4">
        <v>8</v>
      </c>
      <c r="T155" s="4">
        <v>8</v>
      </c>
      <c r="U155" s="5" t="s">
        <v>1748</v>
      </c>
      <c r="V155" s="5" t="s">
        <v>1748</v>
      </c>
      <c r="W155" s="5" t="s">
        <v>1348</v>
      </c>
      <c r="X155" s="5" t="s">
        <v>1348</v>
      </c>
      <c r="Y155" s="4">
        <v>68</v>
      </c>
      <c r="Z155" s="4">
        <v>51</v>
      </c>
      <c r="AA155" s="4">
        <v>91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0</v>
      </c>
      <c r="AI155" s="4">
        <v>0</v>
      </c>
      <c r="AJ155" s="4">
        <v>1</v>
      </c>
      <c r="AK155" s="4">
        <v>1</v>
      </c>
      <c r="AL155" s="4">
        <v>0</v>
      </c>
      <c r="AM155" s="4">
        <v>0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HYPERLINK("https://creighton-primo.hosted.exlibrisgroup.com/primo-explore/search?tab=default_tab&amp;search_scope=EVERYTHING&amp;vid=01CRU&amp;lang=en_US&amp;offset=0&amp;query=any,contains,991000948769702656","Catalog Record")</f>
        <v>Catalog Record</v>
      </c>
      <c r="AT155" s="6" t="str">
        <f>HYPERLINK("http://www.worldcat.org/oclc/9830792","WorldCat Record")</f>
        <v>WorldCat Record</v>
      </c>
    </row>
    <row r="156" spans="1:46" ht="40.5" customHeight="1" x14ac:dyDescent="0.25">
      <c r="A156" s="8" t="s">
        <v>58</v>
      </c>
      <c r="B156" s="2" t="s">
        <v>1749</v>
      </c>
      <c r="C156" s="2" t="s">
        <v>1750</v>
      </c>
      <c r="D156" s="2" t="s">
        <v>1751</v>
      </c>
      <c r="F156" s="3" t="s">
        <v>58</v>
      </c>
      <c r="G156" s="3" t="s">
        <v>59</v>
      </c>
      <c r="H156" s="3" t="s">
        <v>58</v>
      </c>
      <c r="I156" s="3" t="s">
        <v>115</v>
      </c>
      <c r="J156" s="3" t="s">
        <v>60</v>
      </c>
      <c r="K156" s="2" t="s">
        <v>1752</v>
      </c>
      <c r="L156" s="2" t="s">
        <v>1753</v>
      </c>
      <c r="M156" s="3" t="s">
        <v>1511</v>
      </c>
      <c r="N156" s="2" t="s">
        <v>143</v>
      </c>
      <c r="O156" s="3" t="s">
        <v>64</v>
      </c>
      <c r="P156" s="3" t="s">
        <v>1355</v>
      </c>
      <c r="R156" s="3" t="s">
        <v>1346</v>
      </c>
      <c r="S156" s="4">
        <v>13</v>
      </c>
      <c r="T156" s="4">
        <v>13</v>
      </c>
      <c r="U156" s="5" t="s">
        <v>1754</v>
      </c>
      <c r="V156" s="5" t="s">
        <v>1754</v>
      </c>
      <c r="W156" s="5" t="s">
        <v>1755</v>
      </c>
      <c r="X156" s="5" t="s">
        <v>1755</v>
      </c>
      <c r="Y156" s="4">
        <v>133</v>
      </c>
      <c r="Z156" s="4">
        <v>108</v>
      </c>
      <c r="AA156" s="4">
        <v>336</v>
      </c>
      <c r="AB156" s="4">
        <v>1</v>
      </c>
      <c r="AC156" s="4">
        <v>1</v>
      </c>
      <c r="AD156" s="4">
        <v>1</v>
      </c>
      <c r="AE156" s="4">
        <v>9</v>
      </c>
      <c r="AF156" s="4">
        <v>0</v>
      </c>
      <c r="AG156" s="4">
        <v>4</v>
      </c>
      <c r="AH156" s="4">
        <v>0</v>
      </c>
      <c r="AI156" s="4">
        <v>1</v>
      </c>
      <c r="AJ156" s="4">
        <v>1</v>
      </c>
      <c r="AK156" s="4">
        <v>6</v>
      </c>
      <c r="AL156" s="4">
        <v>0</v>
      </c>
      <c r="AM156" s="4">
        <v>0</v>
      </c>
      <c r="AN156" s="4">
        <v>0</v>
      </c>
      <c r="AO156" s="4">
        <v>0</v>
      </c>
      <c r="AP156" s="3" t="s">
        <v>58</v>
      </c>
      <c r="AQ156" s="3" t="s">
        <v>115</v>
      </c>
      <c r="AR156" s="6" t="str">
        <f>HYPERLINK("http://catalog.hathitrust.org/Record/002423973","HathiTrust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HYPERLINK("https://creighton-primo.hosted.exlibrisgroup.com/primo-explore/search?tab=default_tab&amp;search_scope=EVERYTHING&amp;vid=01CRU&amp;lang=en_US&amp;offset=0&amp;query=any,contains,991001375009702656","Catalog Record")</f>
        <v>Catalog Record</v>
      </c>
      <c r="AT156" s="6" t="str">
        <f>HYPERLINK("http://www.worldcat.org/oclc/19722574","WorldCat Record")</f>
        <v>WorldCat Record</v>
      </c>
    </row>
    <row r="157" spans="1:46" ht="40.5" customHeight="1" x14ac:dyDescent="0.25">
      <c r="A157" s="8" t="s">
        <v>58</v>
      </c>
      <c r="B157" s="2" t="s">
        <v>1756</v>
      </c>
      <c r="C157" s="2" t="s">
        <v>1757</v>
      </c>
      <c r="D157" s="2" t="s">
        <v>1758</v>
      </c>
      <c r="F157" s="3" t="s">
        <v>58</v>
      </c>
      <c r="G157" s="3" t="s">
        <v>59</v>
      </c>
      <c r="H157" s="3" t="s">
        <v>58</v>
      </c>
      <c r="I157" s="3" t="s">
        <v>115</v>
      </c>
      <c r="J157" s="3" t="s">
        <v>60</v>
      </c>
      <c r="K157" s="2" t="s">
        <v>1759</v>
      </c>
      <c r="L157" s="2" t="s">
        <v>1760</v>
      </c>
      <c r="M157" s="3" t="s">
        <v>1414</v>
      </c>
      <c r="N157" s="2" t="s">
        <v>221</v>
      </c>
      <c r="O157" s="3" t="s">
        <v>64</v>
      </c>
      <c r="P157" s="3" t="s">
        <v>685</v>
      </c>
      <c r="R157" s="3" t="s">
        <v>1346</v>
      </c>
      <c r="S157" s="4">
        <v>2</v>
      </c>
      <c r="T157" s="4">
        <v>2</v>
      </c>
      <c r="U157" s="5" t="s">
        <v>1761</v>
      </c>
      <c r="V157" s="5" t="s">
        <v>1761</v>
      </c>
      <c r="W157" s="5" t="s">
        <v>1348</v>
      </c>
      <c r="X157" s="5" t="s">
        <v>1348</v>
      </c>
      <c r="Y157" s="4">
        <v>28</v>
      </c>
      <c r="Z157" s="4">
        <v>24</v>
      </c>
      <c r="AA157" s="4">
        <v>639</v>
      </c>
      <c r="AB157" s="4">
        <v>1</v>
      </c>
      <c r="AC157" s="4">
        <v>6</v>
      </c>
      <c r="AD157" s="4">
        <v>1</v>
      </c>
      <c r="AE157" s="4">
        <v>18</v>
      </c>
      <c r="AF157" s="4">
        <v>1</v>
      </c>
      <c r="AG157" s="4">
        <v>7</v>
      </c>
      <c r="AH157" s="4">
        <v>0</v>
      </c>
      <c r="AI157" s="4">
        <v>1</v>
      </c>
      <c r="AJ157" s="4">
        <v>1</v>
      </c>
      <c r="AK157" s="4">
        <v>9</v>
      </c>
      <c r="AL157" s="4">
        <v>0</v>
      </c>
      <c r="AM157" s="4">
        <v>3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HYPERLINK("https://creighton-primo.hosted.exlibrisgroup.com/primo-explore/search?tab=default_tab&amp;search_scope=EVERYTHING&amp;vid=01CRU&amp;lang=en_US&amp;offset=0&amp;query=any,contains,991000949169702656","Catalog Record")</f>
        <v>Catalog Record</v>
      </c>
      <c r="AT157" s="6" t="str">
        <f>HYPERLINK("http://www.worldcat.org/oclc/10494099","WorldCat Record")</f>
        <v>WorldCat Record</v>
      </c>
    </row>
    <row r="158" spans="1:46" ht="40.5" customHeight="1" x14ac:dyDescent="0.25">
      <c r="A158" s="8" t="s">
        <v>58</v>
      </c>
      <c r="B158" s="2" t="s">
        <v>1762</v>
      </c>
      <c r="C158" s="2" t="s">
        <v>1763</v>
      </c>
      <c r="D158" s="2" t="s">
        <v>1764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1765</v>
      </c>
      <c r="L158" s="2" t="s">
        <v>1766</v>
      </c>
      <c r="M158" s="3" t="s">
        <v>142</v>
      </c>
      <c r="N158" s="2" t="s">
        <v>1767</v>
      </c>
      <c r="O158" s="3" t="s">
        <v>64</v>
      </c>
      <c r="P158" s="3" t="s">
        <v>65</v>
      </c>
      <c r="R158" s="3" t="s">
        <v>1346</v>
      </c>
      <c r="S158" s="4">
        <v>23</v>
      </c>
      <c r="T158" s="4">
        <v>23</v>
      </c>
      <c r="U158" s="5" t="s">
        <v>1768</v>
      </c>
      <c r="V158" s="5" t="s">
        <v>1768</v>
      </c>
      <c r="W158" s="5" t="s">
        <v>1769</v>
      </c>
      <c r="X158" s="5" t="s">
        <v>1769</v>
      </c>
      <c r="Y158" s="4">
        <v>45</v>
      </c>
      <c r="Z158" s="4">
        <v>33</v>
      </c>
      <c r="AA158" s="4">
        <v>67</v>
      </c>
      <c r="AB158" s="4">
        <v>1</v>
      </c>
      <c r="AC158" s="4">
        <v>1</v>
      </c>
      <c r="AD158" s="4">
        <v>0</v>
      </c>
      <c r="AE158" s="4">
        <v>2</v>
      </c>
      <c r="AF158" s="4">
        <v>0</v>
      </c>
      <c r="AG158" s="4">
        <v>1</v>
      </c>
      <c r="AH158" s="4">
        <v>0</v>
      </c>
      <c r="AI158" s="4">
        <v>1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HYPERLINK("https://creighton-primo.hosted.exlibrisgroup.com/primo-explore/search?tab=default_tab&amp;search_scope=EVERYTHING&amp;vid=01CRU&amp;lang=en_US&amp;offset=0&amp;query=any,contains,991000934439702656","Catalog Record")</f>
        <v>Catalog Record</v>
      </c>
      <c r="AT158" s="6" t="str">
        <f>HYPERLINK("http://www.worldcat.org/oclc/22837087","WorldCat Record")</f>
        <v>WorldCat Record</v>
      </c>
    </row>
    <row r="159" spans="1:46" ht="40.5" customHeight="1" x14ac:dyDescent="0.25">
      <c r="A159" s="8" t="s">
        <v>58</v>
      </c>
      <c r="B159" s="2" t="s">
        <v>1770</v>
      </c>
      <c r="C159" s="2" t="s">
        <v>1771</v>
      </c>
      <c r="D159" s="2" t="s">
        <v>1772</v>
      </c>
      <c r="F159" s="3" t="s">
        <v>58</v>
      </c>
      <c r="G159" s="3" t="s">
        <v>59</v>
      </c>
      <c r="H159" s="3" t="s">
        <v>58</v>
      </c>
      <c r="I159" s="3" t="s">
        <v>115</v>
      </c>
      <c r="J159" s="3" t="s">
        <v>60</v>
      </c>
      <c r="K159" s="2" t="s">
        <v>1773</v>
      </c>
      <c r="L159" s="2" t="s">
        <v>1774</v>
      </c>
      <c r="M159" s="3" t="s">
        <v>380</v>
      </c>
      <c r="N159" s="2" t="s">
        <v>1775</v>
      </c>
      <c r="O159" s="3" t="s">
        <v>64</v>
      </c>
      <c r="P159" s="3" t="s">
        <v>1374</v>
      </c>
      <c r="Q159" s="2" t="s">
        <v>1776</v>
      </c>
      <c r="R159" s="3" t="s">
        <v>1346</v>
      </c>
      <c r="S159" s="4">
        <v>27</v>
      </c>
      <c r="T159" s="4">
        <v>27</v>
      </c>
      <c r="U159" s="5" t="s">
        <v>1777</v>
      </c>
      <c r="V159" s="5" t="s">
        <v>1777</v>
      </c>
      <c r="W159" s="5" t="s">
        <v>1778</v>
      </c>
      <c r="X159" s="5" t="s">
        <v>1778</v>
      </c>
      <c r="Y159" s="4">
        <v>55</v>
      </c>
      <c r="Z159" s="4">
        <v>32</v>
      </c>
      <c r="AA159" s="4">
        <v>135</v>
      </c>
      <c r="AB159" s="4">
        <v>1</v>
      </c>
      <c r="AC159" s="4">
        <v>3</v>
      </c>
      <c r="AD159" s="4">
        <v>0</v>
      </c>
      <c r="AE159" s="4">
        <v>6</v>
      </c>
      <c r="AF159" s="4">
        <v>0</v>
      </c>
      <c r="AG159" s="4">
        <v>2</v>
      </c>
      <c r="AH159" s="4">
        <v>0</v>
      </c>
      <c r="AI159" s="4">
        <v>0</v>
      </c>
      <c r="AJ159" s="4">
        <v>0</v>
      </c>
      <c r="AK159" s="4">
        <v>2</v>
      </c>
      <c r="AL159" s="4">
        <v>0</v>
      </c>
      <c r="AM159" s="4">
        <v>2</v>
      </c>
      <c r="AN159" s="4">
        <v>0</v>
      </c>
      <c r="AO159" s="4">
        <v>0</v>
      </c>
      <c r="AP159" s="3" t="s">
        <v>58</v>
      </c>
      <c r="AQ159" s="3" t="s">
        <v>115</v>
      </c>
      <c r="AR159" s="6" t="str">
        <f>HYPERLINK("http://catalog.hathitrust.org/Record/002865173","HathiTrust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HYPERLINK("https://creighton-primo.hosted.exlibrisgroup.com/primo-explore/search?tab=default_tab&amp;search_scope=EVERYTHING&amp;vid=01CRU&amp;lang=en_US&amp;offset=0&amp;query=any,contains,991001511509702656","Catalog Record")</f>
        <v>Catalog Record</v>
      </c>
      <c r="AT159" s="6" t="str">
        <f>HYPERLINK("http://www.worldcat.org/oclc/27311184","WorldCat Record")</f>
        <v>WorldCat Record</v>
      </c>
    </row>
    <row r="160" spans="1:46" ht="40.5" customHeight="1" x14ac:dyDescent="0.25">
      <c r="A160" s="8" t="s">
        <v>58</v>
      </c>
      <c r="B160" s="2" t="s">
        <v>1779</v>
      </c>
      <c r="C160" s="2" t="s">
        <v>1780</v>
      </c>
      <c r="D160" s="2" t="s">
        <v>1781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1782</v>
      </c>
      <c r="L160" s="2" t="s">
        <v>1783</v>
      </c>
      <c r="M160" s="3" t="s">
        <v>1511</v>
      </c>
      <c r="O160" s="3" t="s">
        <v>64</v>
      </c>
      <c r="P160" s="3" t="s">
        <v>291</v>
      </c>
      <c r="R160" s="3" t="s">
        <v>1346</v>
      </c>
      <c r="S160" s="4">
        <v>12</v>
      </c>
      <c r="T160" s="4">
        <v>12</v>
      </c>
      <c r="U160" s="5" t="s">
        <v>1784</v>
      </c>
      <c r="V160" s="5" t="s">
        <v>1784</v>
      </c>
      <c r="W160" s="5" t="s">
        <v>1785</v>
      </c>
      <c r="X160" s="5" t="s">
        <v>1785</v>
      </c>
      <c r="Y160" s="4">
        <v>1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HYPERLINK("https://creighton-primo.hosted.exlibrisgroup.com/primo-explore/search?tab=default_tab&amp;search_scope=EVERYTHING&amp;vid=01CRU&amp;lang=en_US&amp;offset=0&amp;query=any,contains,991001115529702656","Catalog Record")</f>
        <v>Catalog Record</v>
      </c>
      <c r="AT160" s="6" t="str">
        <f>HYPERLINK("http://www.worldcat.org/oclc/19482264","WorldCat Record")</f>
        <v>WorldCat Record</v>
      </c>
    </row>
    <row r="161" spans="1:46" ht="40.5" customHeight="1" x14ac:dyDescent="0.25">
      <c r="A161" s="8" t="s">
        <v>58</v>
      </c>
      <c r="B161" s="2" t="s">
        <v>1786</v>
      </c>
      <c r="C161" s="2" t="s">
        <v>1787</v>
      </c>
      <c r="D161" s="2" t="s">
        <v>1788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1782</v>
      </c>
      <c r="L161" s="2" t="s">
        <v>1789</v>
      </c>
      <c r="M161" s="3" t="s">
        <v>173</v>
      </c>
      <c r="O161" s="3" t="s">
        <v>64</v>
      </c>
      <c r="P161" s="3" t="s">
        <v>291</v>
      </c>
      <c r="R161" s="3" t="s">
        <v>1346</v>
      </c>
      <c r="S161" s="4">
        <v>2</v>
      </c>
      <c r="T161" s="4">
        <v>2</v>
      </c>
      <c r="U161" s="5" t="s">
        <v>1790</v>
      </c>
      <c r="V161" s="5" t="s">
        <v>1790</v>
      </c>
      <c r="W161" s="5" t="s">
        <v>1791</v>
      </c>
      <c r="X161" s="5" t="s">
        <v>1791</v>
      </c>
      <c r="Y161" s="4">
        <v>2</v>
      </c>
      <c r="Z161" s="4">
        <v>2</v>
      </c>
      <c r="AA161" s="4">
        <v>2</v>
      </c>
      <c r="AB161" s="4">
        <v>1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HYPERLINK("https://creighton-primo.hosted.exlibrisgroup.com/primo-explore/search?tab=default_tab&amp;search_scope=EVERYTHING&amp;vid=01CRU&amp;lang=en_US&amp;offset=0&amp;query=any,contains,991000332529702656","Catalog Record")</f>
        <v>Catalog Record</v>
      </c>
      <c r="AT161" s="6" t="str">
        <f>HYPERLINK("http://www.worldcat.org/oclc/35215031","WorldCat Record")</f>
        <v>WorldCat Record</v>
      </c>
    </row>
    <row r="162" spans="1:46" ht="40.5" customHeight="1" x14ac:dyDescent="0.25">
      <c r="A162" s="8" t="s">
        <v>58</v>
      </c>
      <c r="B162" s="2" t="s">
        <v>1792</v>
      </c>
      <c r="C162" s="2" t="s">
        <v>1793</v>
      </c>
      <c r="D162" s="2" t="s">
        <v>1794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1795</v>
      </c>
      <c r="L162" s="2" t="s">
        <v>1796</v>
      </c>
      <c r="M162" s="3" t="s">
        <v>1511</v>
      </c>
      <c r="N162" s="2" t="s">
        <v>174</v>
      </c>
      <c r="O162" s="3" t="s">
        <v>64</v>
      </c>
      <c r="P162" s="3" t="s">
        <v>1406</v>
      </c>
      <c r="R162" s="3" t="s">
        <v>1346</v>
      </c>
      <c r="S162" s="4">
        <v>26</v>
      </c>
      <c r="T162" s="4">
        <v>26</v>
      </c>
      <c r="U162" s="5" t="s">
        <v>1797</v>
      </c>
      <c r="V162" s="5" t="s">
        <v>1797</v>
      </c>
      <c r="W162" s="5" t="s">
        <v>1798</v>
      </c>
      <c r="X162" s="5" t="s">
        <v>1798</v>
      </c>
      <c r="Y162" s="4">
        <v>70</v>
      </c>
      <c r="Z162" s="4">
        <v>46</v>
      </c>
      <c r="AA162" s="4">
        <v>48</v>
      </c>
      <c r="AB162" s="4">
        <v>1</v>
      </c>
      <c r="AC162" s="4">
        <v>1</v>
      </c>
      <c r="AD162" s="4">
        <v>3</v>
      </c>
      <c r="AE162" s="4">
        <v>3</v>
      </c>
      <c r="AF162" s="4">
        <v>2</v>
      </c>
      <c r="AG162" s="4">
        <v>2</v>
      </c>
      <c r="AH162" s="4">
        <v>0</v>
      </c>
      <c r="AI162" s="4">
        <v>0</v>
      </c>
      <c r="AJ162" s="4">
        <v>1</v>
      </c>
      <c r="AK162" s="4">
        <v>1</v>
      </c>
      <c r="AL162" s="4">
        <v>0</v>
      </c>
      <c r="AM162" s="4">
        <v>0</v>
      </c>
      <c r="AN162" s="4">
        <v>0</v>
      </c>
      <c r="AO162" s="4">
        <v>0</v>
      </c>
      <c r="AP162" s="3" t="s">
        <v>58</v>
      </c>
      <c r="AQ162" s="3" t="s">
        <v>115</v>
      </c>
      <c r="AR162" s="6" t="str">
        <f>HYPERLINK("http://catalog.hathitrust.org/Record/002451490","HathiTrust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HYPERLINK("https://creighton-primo.hosted.exlibrisgroup.com/primo-explore/search?tab=default_tab&amp;search_scope=EVERYTHING&amp;vid=01CRU&amp;lang=en_US&amp;offset=0&amp;query=any,contains,991001112799702656","Catalog Record")</f>
        <v>Catalog Record</v>
      </c>
      <c r="AT162" s="6" t="str">
        <f>HYPERLINK("http://www.worldcat.org/oclc/18136897","WorldCat Record")</f>
        <v>WorldCat Record</v>
      </c>
    </row>
    <row r="163" spans="1:46" ht="40.5" customHeight="1" x14ac:dyDescent="0.25">
      <c r="A163" s="8" t="s">
        <v>58</v>
      </c>
      <c r="B163" s="2" t="s">
        <v>1799</v>
      </c>
      <c r="C163" s="2" t="s">
        <v>1800</v>
      </c>
      <c r="D163" s="2" t="s">
        <v>1801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1802</v>
      </c>
      <c r="L163" s="2" t="s">
        <v>1803</v>
      </c>
      <c r="M163" s="3" t="s">
        <v>321</v>
      </c>
      <c r="O163" s="3" t="s">
        <v>64</v>
      </c>
      <c r="P163" s="3" t="s">
        <v>685</v>
      </c>
      <c r="R163" s="3" t="s">
        <v>1346</v>
      </c>
      <c r="S163" s="4">
        <v>4</v>
      </c>
      <c r="T163" s="4">
        <v>4</v>
      </c>
      <c r="U163" s="5" t="s">
        <v>1804</v>
      </c>
      <c r="V163" s="5" t="s">
        <v>1804</v>
      </c>
      <c r="W163" s="5" t="s">
        <v>1348</v>
      </c>
      <c r="X163" s="5" t="s">
        <v>1348</v>
      </c>
      <c r="Y163" s="4">
        <v>41</v>
      </c>
      <c r="Z163" s="4">
        <v>34</v>
      </c>
      <c r="AA163" s="4">
        <v>40</v>
      </c>
      <c r="AB163" s="4">
        <v>1</v>
      </c>
      <c r="AC163" s="4">
        <v>1</v>
      </c>
      <c r="AD163" s="4">
        <v>1</v>
      </c>
      <c r="AE163" s="4">
        <v>1</v>
      </c>
      <c r="AF163" s="4">
        <v>0</v>
      </c>
      <c r="AG163" s="4">
        <v>0</v>
      </c>
      <c r="AH163" s="4">
        <v>0</v>
      </c>
      <c r="AI163" s="4">
        <v>0</v>
      </c>
      <c r="AJ163" s="4">
        <v>1</v>
      </c>
      <c r="AK163" s="4">
        <v>1</v>
      </c>
      <c r="AL163" s="4">
        <v>0</v>
      </c>
      <c r="AM163" s="4">
        <v>0</v>
      </c>
      <c r="AN163" s="4">
        <v>0</v>
      </c>
      <c r="AO163" s="4">
        <v>0</v>
      </c>
      <c r="AP163" s="3" t="s">
        <v>58</v>
      </c>
      <c r="AQ163" s="3" t="s">
        <v>115</v>
      </c>
      <c r="AR163" s="6" t="str">
        <f>HYPERLINK("http://catalog.hathitrust.org/Record/007050981","HathiTrust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HYPERLINK("https://creighton-primo.hosted.exlibrisgroup.com/primo-explore/search?tab=default_tab&amp;search_scope=EVERYTHING&amp;vid=01CRU&amp;lang=en_US&amp;offset=0&amp;query=any,contains,991000949779702656","Catalog Record")</f>
        <v>Catalog Record</v>
      </c>
      <c r="AT163" s="6" t="str">
        <f>HYPERLINK("http://www.worldcat.org/oclc/3312385","WorldCat Record")</f>
        <v>WorldCat Record</v>
      </c>
    </row>
    <row r="164" spans="1:46" ht="40.5" customHeight="1" x14ac:dyDescent="0.25">
      <c r="A164" s="8" t="s">
        <v>58</v>
      </c>
      <c r="B164" s="2" t="s">
        <v>1805</v>
      </c>
      <c r="C164" s="2" t="s">
        <v>1806</v>
      </c>
      <c r="D164" s="2" t="s">
        <v>1807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L164" s="2" t="s">
        <v>1808</v>
      </c>
      <c r="M164" s="3" t="s">
        <v>142</v>
      </c>
      <c r="N164" s="2" t="s">
        <v>1809</v>
      </c>
      <c r="O164" s="3" t="s">
        <v>64</v>
      </c>
      <c r="P164" s="3" t="s">
        <v>1810</v>
      </c>
      <c r="R164" s="3" t="s">
        <v>1346</v>
      </c>
      <c r="S164" s="4">
        <v>47</v>
      </c>
      <c r="T164" s="4">
        <v>47</v>
      </c>
      <c r="U164" s="5" t="s">
        <v>1811</v>
      </c>
      <c r="V164" s="5" t="s">
        <v>1811</v>
      </c>
      <c r="W164" s="5" t="s">
        <v>1812</v>
      </c>
      <c r="X164" s="5" t="s">
        <v>1812</v>
      </c>
      <c r="Y164" s="4">
        <v>59</v>
      </c>
      <c r="Z164" s="4">
        <v>43</v>
      </c>
      <c r="AA164" s="4">
        <v>111</v>
      </c>
      <c r="AB164" s="4">
        <v>1</v>
      </c>
      <c r="AC164" s="4">
        <v>1</v>
      </c>
      <c r="AD164" s="4">
        <v>1</v>
      </c>
      <c r="AE164" s="4">
        <v>4</v>
      </c>
      <c r="AF164" s="4">
        <v>0</v>
      </c>
      <c r="AG164" s="4">
        <v>1</v>
      </c>
      <c r="AH164" s="4">
        <v>1</v>
      </c>
      <c r="AI164" s="4">
        <v>1</v>
      </c>
      <c r="AJ164" s="4">
        <v>0</v>
      </c>
      <c r="AK164" s="4">
        <v>3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HYPERLINK("https://creighton-primo.hosted.exlibrisgroup.com/primo-explore/search?tab=default_tab&amp;search_scope=EVERYTHING&amp;vid=01CRU&amp;lang=en_US&amp;offset=0&amp;query=any,contains,991000821159702656","Catalog Record")</f>
        <v>Catalog Record</v>
      </c>
      <c r="AT164" s="6" t="str">
        <f>HYPERLINK("http://www.worldcat.org/oclc/21078298","WorldCat Record")</f>
        <v>WorldCat Record</v>
      </c>
    </row>
    <row r="165" spans="1:46" ht="40.5" customHeight="1" x14ac:dyDescent="0.25">
      <c r="A165" s="8" t="s">
        <v>58</v>
      </c>
      <c r="B165" s="2" t="s">
        <v>1813</v>
      </c>
      <c r="C165" s="2" t="s">
        <v>1814</v>
      </c>
      <c r="D165" s="2" t="s">
        <v>1815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L165" s="2" t="s">
        <v>1816</v>
      </c>
      <c r="M165" s="3" t="s">
        <v>142</v>
      </c>
      <c r="O165" s="3" t="s">
        <v>64</v>
      </c>
      <c r="P165" s="3" t="s">
        <v>144</v>
      </c>
      <c r="R165" s="3" t="s">
        <v>1346</v>
      </c>
      <c r="S165" s="4">
        <v>29</v>
      </c>
      <c r="T165" s="4">
        <v>29</v>
      </c>
      <c r="U165" s="5" t="s">
        <v>1790</v>
      </c>
      <c r="V165" s="5" t="s">
        <v>1790</v>
      </c>
      <c r="W165" s="5" t="s">
        <v>1817</v>
      </c>
      <c r="X165" s="5" t="s">
        <v>1817</v>
      </c>
      <c r="Y165" s="4">
        <v>4</v>
      </c>
      <c r="Z165" s="4">
        <v>4</v>
      </c>
      <c r="AA165" s="4">
        <v>4</v>
      </c>
      <c r="AB165" s="4">
        <v>1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HYPERLINK("https://creighton-primo.hosted.exlibrisgroup.com/primo-explore/search?tab=default_tab&amp;search_scope=EVERYTHING&amp;vid=01CRU&amp;lang=en_US&amp;offset=0&amp;query=any,contains,991001344879702656","Catalog Record")</f>
        <v>Catalog Record</v>
      </c>
      <c r="AT165" s="6" t="str">
        <f>HYPERLINK("http://www.worldcat.org/oclc/24471202","WorldCat Record")</f>
        <v>WorldCat Record</v>
      </c>
    </row>
    <row r="166" spans="1:46" ht="40.5" customHeight="1" x14ac:dyDescent="0.25">
      <c r="A166" s="8" t="s">
        <v>58</v>
      </c>
      <c r="B166" s="2" t="s">
        <v>1818</v>
      </c>
      <c r="C166" s="2" t="s">
        <v>1819</v>
      </c>
      <c r="D166" s="2" t="s">
        <v>1820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L166" s="2" t="s">
        <v>1821</v>
      </c>
      <c r="M166" s="3" t="s">
        <v>408</v>
      </c>
      <c r="N166" s="2" t="s">
        <v>936</v>
      </c>
      <c r="O166" s="3" t="s">
        <v>64</v>
      </c>
      <c r="P166" s="3" t="s">
        <v>1822</v>
      </c>
      <c r="R166" s="3" t="s">
        <v>1346</v>
      </c>
      <c r="S166" s="4">
        <v>32</v>
      </c>
      <c r="T166" s="4">
        <v>32</v>
      </c>
      <c r="U166" s="5" t="s">
        <v>1356</v>
      </c>
      <c r="V166" s="5" t="s">
        <v>1356</v>
      </c>
      <c r="W166" s="5" t="s">
        <v>1436</v>
      </c>
      <c r="X166" s="5" t="s">
        <v>1436</v>
      </c>
      <c r="Y166" s="4">
        <v>41</v>
      </c>
      <c r="Z166" s="4">
        <v>34</v>
      </c>
      <c r="AA166" s="4">
        <v>95</v>
      </c>
      <c r="AB166" s="4">
        <v>1</v>
      </c>
      <c r="AC166" s="4">
        <v>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HYPERLINK("https://creighton-primo.hosted.exlibrisgroup.com/primo-explore/search?tab=default_tab&amp;search_scope=EVERYTHING&amp;vid=01CRU&amp;lang=en_US&amp;offset=0&amp;query=any,contains,991000747439702656","Catalog Record")</f>
        <v>Catalog Record</v>
      </c>
      <c r="AT166" s="6" t="str">
        <f>HYPERLINK("http://www.worldcat.org/oclc/10949510","WorldCat Record")</f>
        <v>WorldCat Record</v>
      </c>
    </row>
    <row r="167" spans="1:46" ht="40.5" customHeight="1" x14ac:dyDescent="0.25">
      <c r="A167" s="8" t="s">
        <v>58</v>
      </c>
      <c r="B167" s="2" t="s">
        <v>1823</v>
      </c>
      <c r="C167" s="2" t="s">
        <v>1824</v>
      </c>
      <c r="D167" s="2" t="s">
        <v>1825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L167" s="2" t="s">
        <v>1826</v>
      </c>
      <c r="M167" s="3" t="s">
        <v>290</v>
      </c>
      <c r="O167" s="3" t="s">
        <v>64</v>
      </c>
      <c r="P167" s="3" t="s">
        <v>1355</v>
      </c>
      <c r="Q167" s="2" t="s">
        <v>530</v>
      </c>
      <c r="R167" s="3" t="s">
        <v>1346</v>
      </c>
      <c r="S167" s="4">
        <v>51</v>
      </c>
      <c r="T167" s="4">
        <v>51</v>
      </c>
      <c r="U167" s="5" t="s">
        <v>1827</v>
      </c>
      <c r="V167" s="5" t="s">
        <v>1827</v>
      </c>
      <c r="W167" s="5" t="s">
        <v>1828</v>
      </c>
      <c r="X167" s="5" t="s">
        <v>1828</v>
      </c>
      <c r="Y167" s="4">
        <v>45</v>
      </c>
      <c r="Z167" s="4">
        <v>32</v>
      </c>
      <c r="AA167" s="4">
        <v>35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0</v>
      </c>
      <c r="AI167" s="4">
        <v>0</v>
      </c>
      <c r="AJ167" s="4">
        <v>1</v>
      </c>
      <c r="AK167" s="4">
        <v>1</v>
      </c>
      <c r="AL167" s="4">
        <v>0</v>
      </c>
      <c r="AM167" s="4">
        <v>0</v>
      </c>
      <c r="AN167" s="4">
        <v>0</v>
      </c>
      <c r="AO167" s="4">
        <v>0</v>
      </c>
      <c r="AP167" s="3" t="s">
        <v>58</v>
      </c>
      <c r="AQ167" s="3" t="s">
        <v>115</v>
      </c>
      <c r="AR167" s="6" t="str">
        <f>HYPERLINK("http://catalog.hathitrust.org/Record/002053798","HathiTrust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HYPERLINK("https://creighton-primo.hosted.exlibrisgroup.com/primo-explore/search?tab=default_tab&amp;search_scope=EVERYTHING&amp;vid=01CRU&amp;lang=en_US&amp;offset=0&amp;query=any,contains,991001386719702656","Catalog Record")</f>
        <v>Catalog Record</v>
      </c>
      <c r="AT167" s="6" t="str">
        <f>HYPERLINK("http://www.worldcat.org/oclc/18816916","WorldCat Record")</f>
        <v>WorldCat Record</v>
      </c>
    </row>
    <row r="168" spans="1:46" ht="40.5" customHeight="1" x14ac:dyDescent="0.25">
      <c r="A168" s="8" t="s">
        <v>58</v>
      </c>
      <c r="B168" s="2" t="s">
        <v>1829</v>
      </c>
      <c r="C168" s="2" t="s">
        <v>1830</v>
      </c>
      <c r="D168" s="2" t="s">
        <v>1831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1832</v>
      </c>
      <c r="L168" s="2" t="s">
        <v>1833</v>
      </c>
      <c r="M168" s="3" t="s">
        <v>173</v>
      </c>
      <c r="N168" s="2" t="s">
        <v>1362</v>
      </c>
      <c r="O168" s="3" t="s">
        <v>64</v>
      </c>
      <c r="P168" s="3" t="s">
        <v>1406</v>
      </c>
      <c r="R168" s="3" t="s">
        <v>1346</v>
      </c>
      <c r="S168" s="4">
        <v>17</v>
      </c>
      <c r="T168" s="4">
        <v>17</v>
      </c>
      <c r="U168" s="5" t="s">
        <v>207</v>
      </c>
      <c r="V168" s="5" t="s">
        <v>207</v>
      </c>
      <c r="W168" s="5" t="s">
        <v>1380</v>
      </c>
      <c r="X168" s="5" t="s">
        <v>1380</v>
      </c>
      <c r="Y168" s="4">
        <v>64</v>
      </c>
      <c r="Z168" s="4">
        <v>61</v>
      </c>
      <c r="AA168" s="4">
        <v>114</v>
      </c>
      <c r="AB168" s="4">
        <v>1</v>
      </c>
      <c r="AC168" s="4">
        <v>1</v>
      </c>
      <c r="AD168" s="4">
        <v>0</v>
      </c>
      <c r="AE168" s="4">
        <v>2</v>
      </c>
      <c r="AF168" s="4">
        <v>0</v>
      </c>
      <c r="AG168" s="4">
        <v>1</v>
      </c>
      <c r="AH168" s="4">
        <v>0</v>
      </c>
      <c r="AI168" s="4">
        <v>0</v>
      </c>
      <c r="AJ168" s="4">
        <v>0</v>
      </c>
      <c r="AK168" s="4">
        <v>1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HYPERLINK("https://creighton-primo.hosted.exlibrisgroup.com/primo-explore/search?tab=default_tab&amp;search_scope=EVERYTHING&amp;vid=01CRU&amp;lang=en_US&amp;offset=0&amp;query=any,contains,991001400249702656","Catalog Record")</f>
        <v>Catalog Record</v>
      </c>
      <c r="AT168" s="6" t="str">
        <f>HYPERLINK("http://www.worldcat.org/oclc/30974794","WorldCat Record")</f>
        <v>WorldCat Record</v>
      </c>
    </row>
    <row r="169" spans="1:46" ht="40.5" customHeight="1" x14ac:dyDescent="0.25">
      <c r="A169" s="8" t="s">
        <v>58</v>
      </c>
      <c r="B169" s="2" t="s">
        <v>1834</v>
      </c>
      <c r="C169" s="2" t="s">
        <v>1835</v>
      </c>
      <c r="D169" s="2" t="s">
        <v>1836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1837</v>
      </c>
      <c r="L169" s="2" t="s">
        <v>1838</v>
      </c>
      <c r="M169" s="3" t="s">
        <v>142</v>
      </c>
      <c r="N169" s="2" t="s">
        <v>221</v>
      </c>
      <c r="O169" s="3" t="s">
        <v>64</v>
      </c>
      <c r="P169" s="3" t="s">
        <v>1406</v>
      </c>
      <c r="R169" s="3" t="s">
        <v>1346</v>
      </c>
      <c r="S169" s="4">
        <v>9</v>
      </c>
      <c r="T169" s="4">
        <v>9</v>
      </c>
      <c r="U169" s="5" t="s">
        <v>1804</v>
      </c>
      <c r="V169" s="5" t="s">
        <v>1804</v>
      </c>
      <c r="W169" s="5" t="s">
        <v>1713</v>
      </c>
      <c r="X169" s="5" t="s">
        <v>1713</v>
      </c>
      <c r="Y169" s="4">
        <v>52</v>
      </c>
      <c r="Z169" s="4">
        <v>48</v>
      </c>
      <c r="AA169" s="4">
        <v>151</v>
      </c>
      <c r="AB169" s="4">
        <v>1</v>
      </c>
      <c r="AC169" s="4">
        <v>2</v>
      </c>
      <c r="AD169" s="4">
        <v>2</v>
      </c>
      <c r="AE169" s="4">
        <v>3</v>
      </c>
      <c r="AF169" s="4">
        <v>1</v>
      </c>
      <c r="AG169" s="4">
        <v>2</v>
      </c>
      <c r="AH169" s="4">
        <v>0</v>
      </c>
      <c r="AI169" s="4">
        <v>0</v>
      </c>
      <c r="AJ169" s="4">
        <v>1</v>
      </c>
      <c r="AK169" s="4">
        <v>2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HYPERLINK("https://creighton-primo.hosted.exlibrisgroup.com/primo-explore/search?tab=default_tab&amp;search_scope=EVERYTHING&amp;vid=01CRU&amp;lang=en_US&amp;offset=0&amp;query=any,contains,991000944189702656","Catalog Record")</f>
        <v>Catalog Record</v>
      </c>
      <c r="AT169" s="6" t="str">
        <f>HYPERLINK("http://www.worldcat.org/oclc/22840570","WorldCat Record")</f>
        <v>WorldCat Record</v>
      </c>
    </row>
    <row r="170" spans="1:46" ht="40.5" customHeight="1" x14ac:dyDescent="0.25">
      <c r="A170" s="8" t="s">
        <v>58</v>
      </c>
      <c r="B170" s="2" t="s">
        <v>1839</v>
      </c>
      <c r="C170" s="2" t="s">
        <v>1840</v>
      </c>
      <c r="D170" s="2" t="s">
        <v>1841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1842</v>
      </c>
      <c r="L170" s="2" t="s">
        <v>1843</v>
      </c>
      <c r="M170" s="3" t="s">
        <v>1122</v>
      </c>
      <c r="N170" s="2" t="s">
        <v>221</v>
      </c>
      <c r="O170" s="3" t="s">
        <v>64</v>
      </c>
      <c r="P170" s="3" t="s">
        <v>1406</v>
      </c>
      <c r="R170" s="3" t="s">
        <v>1346</v>
      </c>
      <c r="S170" s="4">
        <v>6</v>
      </c>
      <c r="T170" s="4">
        <v>6</v>
      </c>
      <c r="U170" s="5" t="s">
        <v>1790</v>
      </c>
      <c r="V170" s="5" t="s">
        <v>1790</v>
      </c>
      <c r="W170" s="5" t="s">
        <v>1844</v>
      </c>
      <c r="X170" s="5" t="s">
        <v>1844</v>
      </c>
      <c r="Y170" s="4">
        <v>96</v>
      </c>
      <c r="Z170" s="4">
        <v>85</v>
      </c>
      <c r="AA170" s="4">
        <v>299</v>
      </c>
      <c r="AB170" s="4">
        <v>1</v>
      </c>
      <c r="AC170" s="4">
        <v>5</v>
      </c>
      <c r="AD170" s="4">
        <v>2</v>
      </c>
      <c r="AE170" s="4">
        <v>7</v>
      </c>
      <c r="AF170" s="4">
        <v>0</v>
      </c>
      <c r="AG170" s="4">
        <v>1</v>
      </c>
      <c r="AH170" s="4">
        <v>0</v>
      </c>
      <c r="AI170" s="4">
        <v>1</v>
      </c>
      <c r="AJ170" s="4">
        <v>2</v>
      </c>
      <c r="AK170" s="4">
        <v>5</v>
      </c>
      <c r="AL170" s="4">
        <v>0</v>
      </c>
      <c r="AM170" s="4">
        <v>2</v>
      </c>
      <c r="AN170" s="4">
        <v>0</v>
      </c>
      <c r="AO170" s="4">
        <v>0</v>
      </c>
      <c r="AP170" s="3" t="s">
        <v>58</v>
      </c>
      <c r="AQ170" s="3" t="s">
        <v>115</v>
      </c>
      <c r="AR170" s="6" t="str">
        <f>HYPERLINK("http://catalog.hathitrust.org/Record/007066465","HathiTrust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HYPERLINK("https://creighton-primo.hosted.exlibrisgroup.com/primo-explore/search?tab=default_tab&amp;search_scope=EVERYTHING&amp;vid=01CRU&amp;lang=en_US&amp;offset=0&amp;query=any,contains,991001453979702656","Catalog Record")</f>
        <v>Catalog Record</v>
      </c>
      <c r="AT170" s="6" t="str">
        <f>HYPERLINK("http://www.worldcat.org/oclc/20671643","WorldCat Record")</f>
        <v>WorldCat Record</v>
      </c>
    </row>
    <row r="171" spans="1:46" ht="40.5" customHeight="1" x14ac:dyDescent="0.25">
      <c r="A171" s="8" t="s">
        <v>58</v>
      </c>
      <c r="B171" s="2" t="s">
        <v>1845</v>
      </c>
      <c r="C171" s="2" t="s">
        <v>1846</v>
      </c>
      <c r="D171" s="2" t="s">
        <v>1847</v>
      </c>
      <c r="F171" s="3" t="s">
        <v>58</v>
      </c>
      <c r="G171" s="3" t="s">
        <v>59</v>
      </c>
      <c r="H171" s="3" t="s">
        <v>58</v>
      </c>
      <c r="I171" s="3" t="s">
        <v>115</v>
      </c>
      <c r="J171" s="3" t="s">
        <v>60</v>
      </c>
      <c r="K171" s="2" t="s">
        <v>1848</v>
      </c>
      <c r="L171" s="2" t="s">
        <v>1849</v>
      </c>
      <c r="M171" s="3" t="s">
        <v>189</v>
      </c>
      <c r="N171" s="2" t="s">
        <v>143</v>
      </c>
      <c r="O171" s="3" t="s">
        <v>64</v>
      </c>
      <c r="P171" s="3" t="s">
        <v>1406</v>
      </c>
      <c r="R171" s="3" t="s">
        <v>1346</v>
      </c>
      <c r="S171" s="4">
        <v>3</v>
      </c>
      <c r="T171" s="4">
        <v>3</v>
      </c>
      <c r="U171" s="5" t="s">
        <v>1850</v>
      </c>
      <c r="V171" s="5" t="s">
        <v>1850</v>
      </c>
      <c r="W171" s="5" t="s">
        <v>1851</v>
      </c>
      <c r="X171" s="5" t="s">
        <v>1851</v>
      </c>
      <c r="Y171" s="4">
        <v>15</v>
      </c>
      <c r="Z171" s="4">
        <v>14</v>
      </c>
      <c r="AA171" s="4">
        <v>205</v>
      </c>
      <c r="AB171" s="4">
        <v>1</v>
      </c>
      <c r="AC171" s="4">
        <v>1</v>
      </c>
      <c r="AD171" s="4">
        <v>0</v>
      </c>
      <c r="AE171" s="4">
        <v>5</v>
      </c>
      <c r="AF171" s="4">
        <v>0</v>
      </c>
      <c r="AG171" s="4">
        <v>2</v>
      </c>
      <c r="AH171" s="4">
        <v>0</v>
      </c>
      <c r="AI171" s="4">
        <v>0</v>
      </c>
      <c r="AJ171" s="4">
        <v>0</v>
      </c>
      <c r="AK171" s="4">
        <v>3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HYPERLINK("https://creighton-primo.hosted.exlibrisgroup.com/primo-explore/search?tab=default_tab&amp;search_scope=EVERYTHING&amp;vid=01CRU&amp;lang=en_US&amp;offset=0&amp;query=any,contains,991001514239702656","Catalog Record")</f>
        <v>Catalog Record</v>
      </c>
      <c r="AT171" s="6" t="str">
        <f>HYPERLINK("http://www.worldcat.org/oclc/28034700","WorldCat Record")</f>
        <v>WorldCat Record</v>
      </c>
    </row>
    <row r="172" spans="1:46" ht="40.5" customHeight="1" x14ac:dyDescent="0.25">
      <c r="A172" s="8" t="s">
        <v>58</v>
      </c>
      <c r="B172" s="2" t="s">
        <v>1852</v>
      </c>
      <c r="C172" s="2" t="s">
        <v>1853</v>
      </c>
      <c r="D172" s="2" t="s">
        <v>1854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1855</v>
      </c>
      <c r="L172" s="2" t="s">
        <v>1856</v>
      </c>
      <c r="M172" s="3" t="s">
        <v>725</v>
      </c>
      <c r="O172" s="3" t="s">
        <v>64</v>
      </c>
      <c r="P172" s="3" t="s">
        <v>1355</v>
      </c>
      <c r="R172" s="3" t="s">
        <v>1346</v>
      </c>
      <c r="S172" s="4">
        <v>8</v>
      </c>
      <c r="T172" s="4">
        <v>8</v>
      </c>
      <c r="U172" s="5" t="s">
        <v>1857</v>
      </c>
      <c r="V172" s="5" t="s">
        <v>1857</v>
      </c>
      <c r="W172" s="5" t="s">
        <v>1436</v>
      </c>
      <c r="X172" s="5" t="s">
        <v>1436</v>
      </c>
      <c r="Y172" s="4">
        <v>72</v>
      </c>
      <c r="Z172" s="4">
        <v>57</v>
      </c>
      <c r="AA172" s="4">
        <v>151</v>
      </c>
      <c r="AB172" s="4">
        <v>2</v>
      </c>
      <c r="AC172" s="4">
        <v>2</v>
      </c>
      <c r="AD172" s="4">
        <v>0</v>
      </c>
      <c r="AE172" s="4">
        <v>2</v>
      </c>
      <c r="AF172" s="4">
        <v>0</v>
      </c>
      <c r="AG172" s="4">
        <v>1</v>
      </c>
      <c r="AH172" s="4">
        <v>0</v>
      </c>
      <c r="AI172" s="4">
        <v>1</v>
      </c>
      <c r="AJ172" s="4">
        <v>0</v>
      </c>
      <c r="AK172" s="4">
        <v>1</v>
      </c>
      <c r="AL172" s="4">
        <v>0</v>
      </c>
      <c r="AM172" s="4">
        <v>0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HYPERLINK("https://creighton-primo.hosted.exlibrisgroup.com/primo-explore/search?tab=default_tab&amp;search_scope=EVERYTHING&amp;vid=01CRU&amp;lang=en_US&amp;offset=0&amp;query=any,contains,991000747489702656","Catalog Record")</f>
        <v>Catalog Record</v>
      </c>
      <c r="AT172" s="6" t="str">
        <f>HYPERLINK("http://www.worldcat.org/oclc/7976904","WorldCat Record")</f>
        <v>WorldCat Record</v>
      </c>
    </row>
    <row r="173" spans="1:46" ht="40.5" customHeight="1" x14ac:dyDescent="0.25">
      <c r="A173" s="8" t="s">
        <v>58</v>
      </c>
      <c r="B173" s="2" t="s">
        <v>1858</v>
      </c>
      <c r="C173" s="2" t="s">
        <v>1859</v>
      </c>
      <c r="D173" s="2" t="s">
        <v>1860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L173" s="2" t="s">
        <v>1861</v>
      </c>
      <c r="M173" s="3" t="s">
        <v>290</v>
      </c>
      <c r="O173" s="3" t="s">
        <v>64</v>
      </c>
      <c r="P173" s="3" t="s">
        <v>144</v>
      </c>
      <c r="R173" s="3" t="s">
        <v>1346</v>
      </c>
      <c r="S173" s="4">
        <v>18</v>
      </c>
      <c r="T173" s="4">
        <v>18</v>
      </c>
      <c r="U173" s="5" t="s">
        <v>1862</v>
      </c>
      <c r="V173" s="5" t="s">
        <v>1862</v>
      </c>
      <c r="W173" s="5" t="s">
        <v>1863</v>
      </c>
      <c r="X173" s="5" t="s">
        <v>1863</v>
      </c>
      <c r="Y173" s="4">
        <v>19</v>
      </c>
      <c r="Z173" s="4">
        <v>18</v>
      </c>
      <c r="AA173" s="4">
        <v>32</v>
      </c>
      <c r="AB173" s="4">
        <v>1</v>
      </c>
      <c r="AC173" s="4">
        <v>1</v>
      </c>
      <c r="AD173" s="4">
        <v>2</v>
      </c>
      <c r="AE173" s="4">
        <v>2</v>
      </c>
      <c r="AF173" s="4">
        <v>1</v>
      </c>
      <c r="AG173" s="4">
        <v>1</v>
      </c>
      <c r="AH173" s="4">
        <v>1</v>
      </c>
      <c r="AI173" s="4">
        <v>1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3" t="s">
        <v>58</v>
      </c>
      <c r="AQ173" s="3" t="s">
        <v>58</v>
      </c>
      <c r="AS173" s="6" t="str">
        <f>HYPERLINK("https://creighton-primo.hosted.exlibrisgroup.com/primo-explore/search?tab=default_tab&amp;search_scope=EVERYTHING&amp;vid=01CRU&amp;lang=en_US&amp;offset=0&amp;query=any,contains,991001389909702656","Catalog Record")</f>
        <v>Catalog Record</v>
      </c>
      <c r="AT173" s="6" t="str">
        <f>HYPERLINK("http://www.worldcat.org/oclc/19020319","WorldCat Record")</f>
        <v>WorldCat Record</v>
      </c>
    </row>
    <row r="174" spans="1:46" ht="40.5" customHeight="1" x14ac:dyDescent="0.25">
      <c r="A174" s="8" t="s">
        <v>58</v>
      </c>
      <c r="B174" s="2" t="s">
        <v>1864</v>
      </c>
      <c r="C174" s="2" t="s">
        <v>1865</v>
      </c>
      <c r="D174" s="2" t="s">
        <v>1866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1867</v>
      </c>
      <c r="L174" s="2" t="s">
        <v>1868</v>
      </c>
      <c r="M174" s="3" t="s">
        <v>336</v>
      </c>
      <c r="O174" s="3" t="s">
        <v>64</v>
      </c>
      <c r="P174" s="3" t="s">
        <v>1406</v>
      </c>
      <c r="R174" s="3" t="s">
        <v>1346</v>
      </c>
      <c r="S174" s="4">
        <v>8</v>
      </c>
      <c r="T174" s="4">
        <v>8</v>
      </c>
      <c r="U174" s="5" t="s">
        <v>1869</v>
      </c>
      <c r="V174" s="5" t="s">
        <v>1869</v>
      </c>
      <c r="W174" s="5" t="s">
        <v>1436</v>
      </c>
      <c r="X174" s="5" t="s">
        <v>1436</v>
      </c>
      <c r="Y174" s="4">
        <v>5</v>
      </c>
      <c r="Z174" s="4">
        <v>5</v>
      </c>
      <c r="AA174" s="4">
        <v>15</v>
      </c>
      <c r="AB174" s="4">
        <v>1</v>
      </c>
      <c r="AC174" s="4">
        <v>1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HYPERLINK("https://creighton-primo.hosted.exlibrisgroup.com/primo-explore/search?tab=default_tab&amp;search_scope=EVERYTHING&amp;vid=01CRU&amp;lang=en_US&amp;offset=0&amp;query=any,contains,991001548289702656","Catalog Record")</f>
        <v>Catalog Record</v>
      </c>
      <c r="AT174" s="6" t="str">
        <f>HYPERLINK("http://www.worldcat.org/oclc/8081381","WorldCat Record")</f>
        <v>WorldCat Record</v>
      </c>
    </row>
    <row r="175" spans="1:46" ht="40.5" customHeight="1" x14ac:dyDescent="0.25">
      <c r="A175" s="8" t="s">
        <v>58</v>
      </c>
      <c r="B175" s="2" t="s">
        <v>1870</v>
      </c>
      <c r="C175" s="2" t="s">
        <v>1871</v>
      </c>
      <c r="D175" s="2" t="s">
        <v>1872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L175" s="2" t="s">
        <v>1873</v>
      </c>
      <c r="M175" s="3" t="s">
        <v>365</v>
      </c>
      <c r="N175" s="2" t="s">
        <v>143</v>
      </c>
      <c r="O175" s="3" t="s">
        <v>64</v>
      </c>
      <c r="P175" s="3" t="s">
        <v>65</v>
      </c>
      <c r="R175" s="3" t="s">
        <v>1346</v>
      </c>
      <c r="S175" s="4">
        <v>4</v>
      </c>
      <c r="T175" s="4">
        <v>4</v>
      </c>
      <c r="U175" s="5" t="s">
        <v>1874</v>
      </c>
      <c r="V175" s="5" t="s">
        <v>1874</v>
      </c>
      <c r="W175" s="5" t="s">
        <v>1875</v>
      </c>
      <c r="X175" s="5" t="s">
        <v>1875</v>
      </c>
      <c r="Y175" s="4">
        <v>51</v>
      </c>
      <c r="Z175" s="4">
        <v>35</v>
      </c>
      <c r="AA175" s="4">
        <v>38</v>
      </c>
      <c r="AB175" s="4">
        <v>1</v>
      </c>
      <c r="AC175" s="4">
        <v>1</v>
      </c>
      <c r="AD175" s="4">
        <v>2</v>
      </c>
      <c r="AE175" s="4">
        <v>2</v>
      </c>
      <c r="AF175" s="4">
        <v>1</v>
      </c>
      <c r="AG175" s="4">
        <v>1</v>
      </c>
      <c r="AH175" s="4">
        <v>1</v>
      </c>
      <c r="AI175" s="4">
        <v>1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3" t="s">
        <v>58</v>
      </c>
      <c r="AQ175" s="3" t="s">
        <v>115</v>
      </c>
      <c r="AR175" s="6" t="str">
        <f>HYPERLINK("http://catalog.hathitrust.org/Record/003968522","HathiTrust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HYPERLINK("https://creighton-primo.hosted.exlibrisgroup.com/primo-explore/search?tab=default_tab&amp;search_scope=EVERYTHING&amp;vid=01CRU&amp;lang=en_US&amp;offset=0&amp;query=any,contains,991001294179702656","Catalog Record")</f>
        <v>Catalog Record</v>
      </c>
      <c r="AT175" s="6" t="str">
        <f>HYPERLINK("http://www.worldcat.org/oclc/37640422","WorldCat Record")</f>
        <v>WorldCat Record</v>
      </c>
    </row>
    <row r="176" spans="1:46" ht="40.5" customHeight="1" x14ac:dyDescent="0.25">
      <c r="A176" s="8" t="s">
        <v>58</v>
      </c>
      <c r="B176" s="2" t="s">
        <v>1876</v>
      </c>
      <c r="C176" s="2" t="s">
        <v>1877</v>
      </c>
      <c r="D176" s="2" t="s">
        <v>1878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1879</v>
      </c>
      <c r="L176" s="2" t="s">
        <v>1880</v>
      </c>
      <c r="M176" s="3" t="s">
        <v>483</v>
      </c>
      <c r="O176" s="3" t="s">
        <v>64</v>
      </c>
      <c r="P176" s="3" t="s">
        <v>265</v>
      </c>
      <c r="R176" s="3" t="s">
        <v>1346</v>
      </c>
      <c r="S176" s="4">
        <v>6</v>
      </c>
      <c r="T176" s="4">
        <v>6</v>
      </c>
      <c r="U176" s="5" t="s">
        <v>1881</v>
      </c>
      <c r="V176" s="5" t="s">
        <v>1881</v>
      </c>
      <c r="W176" s="5" t="s">
        <v>1436</v>
      </c>
      <c r="X176" s="5" t="s">
        <v>1436</v>
      </c>
      <c r="Y176" s="4">
        <v>89</v>
      </c>
      <c r="Z176" s="4">
        <v>83</v>
      </c>
      <c r="AA176" s="4">
        <v>201</v>
      </c>
      <c r="AB176" s="4">
        <v>1</v>
      </c>
      <c r="AC176" s="4">
        <v>3</v>
      </c>
      <c r="AD176" s="4">
        <v>2</v>
      </c>
      <c r="AE176" s="4">
        <v>7</v>
      </c>
      <c r="AF176" s="4">
        <v>0</v>
      </c>
      <c r="AG176" s="4">
        <v>2</v>
      </c>
      <c r="AH176" s="4">
        <v>0</v>
      </c>
      <c r="AI176" s="4">
        <v>1</v>
      </c>
      <c r="AJ176" s="4">
        <v>2</v>
      </c>
      <c r="AK176" s="4">
        <v>5</v>
      </c>
      <c r="AL176" s="4">
        <v>0</v>
      </c>
      <c r="AM176" s="4">
        <v>1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HYPERLINK("https://creighton-primo.hosted.exlibrisgroup.com/primo-explore/search?tab=default_tab&amp;search_scope=EVERYTHING&amp;vid=01CRU&amp;lang=en_US&amp;offset=0&amp;query=any,contains,991001548319702656","Catalog Record")</f>
        <v>Catalog Record</v>
      </c>
      <c r="AT176" s="6" t="str">
        <f>HYPERLINK("http://www.worldcat.org/oclc/4775092","WorldCat Record")</f>
        <v>WorldCat Record</v>
      </c>
    </row>
    <row r="177" spans="1:46" ht="40.5" customHeight="1" x14ac:dyDescent="0.25">
      <c r="A177" s="8" t="s">
        <v>58</v>
      </c>
      <c r="B177" s="2" t="s">
        <v>1882</v>
      </c>
      <c r="C177" s="2" t="s">
        <v>1883</v>
      </c>
      <c r="D177" s="2" t="s">
        <v>1884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1885</v>
      </c>
      <c r="L177" s="2" t="s">
        <v>1886</v>
      </c>
      <c r="M177" s="3" t="s">
        <v>336</v>
      </c>
      <c r="N177" s="2" t="s">
        <v>1344</v>
      </c>
      <c r="O177" s="3" t="s">
        <v>64</v>
      </c>
      <c r="P177" s="3" t="s">
        <v>1355</v>
      </c>
      <c r="Q177" s="2" t="s">
        <v>1887</v>
      </c>
      <c r="R177" s="3" t="s">
        <v>1346</v>
      </c>
      <c r="S177" s="4">
        <v>20</v>
      </c>
      <c r="T177" s="4">
        <v>20</v>
      </c>
      <c r="U177" s="5" t="s">
        <v>1888</v>
      </c>
      <c r="V177" s="5" t="s">
        <v>1888</v>
      </c>
      <c r="W177" s="5" t="s">
        <v>1348</v>
      </c>
      <c r="X177" s="5" t="s">
        <v>1348</v>
      </c>
      <c r="Y177" s="4">
        <v>40</v>
      </c>
      <c r="Z177" s="4">
        <v>19</v>
      </c>
      <c r="AA177" s="4">
        <v>230</v>
      </c>
      <c r="AB177" s="4">
        <v>1</v>
      </c>
      <c r="AC177" s="4">
        <v>2</v>
      </c>
      <c r="AD177" s="4">
        <v>0</v>
      </c>
      <c r="AE177" s="4">
        <v>7</v>
      </c>
      <c r="AF177" s="4">
        <v>0</v>
      </c>
      <c r="AG177" s="4">
        <v>5</v>
      </c>
      <c r="AH177" s="4">
        <v>0</v>
      </c>
      <c r="AI177" s="4">
        <v>2</v>
      </c>
      <c r="AJ177" s="4">
        <v>0</v>
      </c>
      <c r="AK177" s="4">
        <v>1</v>
      </c>
      <c r="AL177" s="4">
        <v>0</v>
      </c>
      <c r="AM177" s="4">
        <v>1</v>
      </c>
      <c r="AN177" s="4">
        <v>0</v>
      </c>
      <c r="AO177" s="4">
        <v>0</v>
      </c>
      <c r="AP177" s="3" t="s">
        <v>58</v>
      </c>
      <c r="AQ177" s="3" t="s">
        <v>58</v>
      </c>
      <c r="AS177" s="6" t="str">
        <f>HYPERLINK("https://creighton-primo.hosted.exlibrisgroup.com/primo-explore/search?tab=default_tab&amp;search_scope=EVERYTHING&amp;vid=01CRU&amp;lang=en_US&amp;offset=0&amp;query=any,contains,991000950279702656","Catalog Record")</f>
        <v>Catalog Record</v>
      </c>
      <c r="AT177" s="6" t="str">
        <f>HYPERLINK("http://www.worldcat.org/oclc/6707181","WorldCat Record")</f>
        <v>WorldCat Record</v>
      </c>
    </row>
    <row r="178" spans="1:46" ht="40.5" customHeight="1" x14ac:dyDescent="0.25">
      <c r="A178" s="8" t="s">
        <v>58</v>
      </c>
      <c r="B178" s="2" t="s">
        <v>1889</v>
      </c>
      <c r="C178" s="2" t="s">
        <v>1890</v>
      </c>
      <c r="D178" s="2" t="s">
        <v>1891</v>
      </c>
      <c r="F178" s="3" t="s">
        <v>58</v>
      </c>
      <c r="G178" s="3" t="s">
        <v>59</v>
      </c>
      <c r="H178" s="3" t="s">
        <v>58</v>
      </c>
      <c r="I178" s="3" t="s">
        <v>115</v>
      </c>
      <c r="J178" s="3" t="s">
        <v>60</v>
      </c>
      <c r="K178" s="2" t="s">
        <v>1746</v>
      </c>
      <c r="L178" s="2" t="s">
        <v>1892</v>
      </c>
      <c r="M178" s="3" t="s">
        <v>572</v>
      </c>
      <c r="N178" s="2" t="s">
        <v>1893</v>
      </c>
      <c r="O178" s="3" t="s">
        <v>64</v>
      </c>
      <c r="P178" s="3" t="s">
        <v>1406</v>
      </c>
      <c r="R178" s="3" t="s">
        <v>1346</v>
      </c>
      <c r="S178" s="4">
        <v>14</v>
      </c>
      <c r="T178" s="4">
        <v>14</v>
      </c>
      <c r="U178" s="5" t="s">
        <v>1894</v>
      </c>
      <c r="V178" s="5" t="s">
        <v>1894</v>
      </c>
      <c r="W178" s="5" t="s">
        <v>1895</v>
      </c>
      <c r="X178" s="5" t="s">
        <v>1895</v>
      </c>
      <c r="Y178" s="4">
        <v>229</v>
      </c>
      <c r="Z178" s="4">
        <v>191</v>
      </c>
      <c r="AA178" s="4">
        <v>614</v>
      </c>
      <c r="AB178" s="4">
        <v>3</v>
      </c>
      <c r="AC178" s="4">
        <v>3</v>
      </c>
      <c r="AD178" s="4">
        <v>6</v>
      </c>
      <c r="AE178" s="4">
        <v>15</v>
      </c>
      <c r="AF178" s="4">
        <v>1</v>
      </c>
      <c r="AG178" s="4">
        <v>7</v>
      </c>
      <c r="AH178" s="4">
        <v>0</v>
      </c>
      <c r="AI178" s="4">
        <v>2</v>
      </c>
      <c r="AJ178" s="4">
        <v>3</v>
      </c>
      <c r="AK178" s="4">
        <v>6</v>
      </c>
      <c r="AL178" s="4">
        <v>2</v>
      </c>
      <c r="AM178" s="4">
        <v>2</v>
      </c>
      <c r="AN178" s="4">
        <v>0</v>
      </c>
      <c r="AO178" s="4">
        <v>0</v>
      </c>
      <c r="AP178" s="3" t="s">
        <v>58</v>
      </c>
      <c r="AQ178" s="3" t="s">
        <v>115</v>
      </c>
      <c r="AR178" s="6" t="str">
        <f>HYPERLINK("http://catalog.hathitrust.org/Record/004350764","HathiTrust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HYPERLINK("https://creighton-primo.hosted.exlibrisgroup.com/primo-explore/search?tab=default_tab&amp;search_scope=EVERYTHING&amp;vid=01CRU&amp;lang=en_US&amp;offset=0&amp;query=any,contains,991000404099702656","Catalog Record")</f>
        <v>Catalog Record</v>
      </c>
      <c r="AT178" s="6" t="str">
        <f>HYPERLINK("http://www.worldcat.org/oclc/54365391","WorldCat Record")</f>
        <v>WorldCat Record</v>
      </c>
    </row>
    <row r="179" spans="1:46" ht="40.5" customHeight="1" x14ac:dyDescent="0.25">
      <c r="A179" s="8" t="s">
        <v>58</v>
      </c>
      <c r="B179" s="2" t="s">
        <v>1896</v>
      </c>
      <c r="C179" s="2" t="s">
        <v>1897</v>
      </c>
      <c r="D179" s="2" t="s">
        <v>1891</v>
      </c>
      <c r="F179" s="3" t="s">
        <v>58</v>
      </c>
      <c r="G179" s="3" t="s">
        <v>59</v>
      </c>
      <c r="H179" s="3" t="s">
        <v>58</v>
      </c>
      <c r="I179" s="3" t="s">
        <v>115</v>
      </c>
      <c r="J179" s="3" t="s">
        <v>60</v>
      </c>
      <c r="K179" s="2" t="s">
        <v>1746</v>
      </c>
      <c r="L179" s="2" t="s">
        <v>1898</v>
      </c>
      <c r="M179" s="3" t="s">
        <v>1899</v>
      </c>
      <c r="N179" s="2" t="s">
        <v>1534</v>
      </c>
      <c r="O179" s="3" t="s">
        <v>64</v>
      </c>
      <c r="P179" s="3" t="s">
        <v>1406</v>
      </c>
      <c r="R179" s="3" t="s">
        <v>1346</v>
      </c>
      <c r="S179" s="4">
        <v>1</v>
      </c>
      <c r="T179" s="4">
        <v>1</v>
      </c>
      <c r="U179" s="5" t="s">
        <v>1900</v>
      </c>
      <c r="V179" s="5" t="s">
        <v>1900</v>
      </c>
      <c r="W179" s="5" t="s">
        <v>1901</v>
      </c>
      <c r="X179" s="5" t="s">
        <v>1901</v>
      </c>
      <c r="Y179" s="4">
        <v>229</v>
      </c>
      <c r="Z179" s="4">
        <v>192</v>
      </c>
      <c r="AA179" s="4">
        <v>614</v>
      </c>
      <c r="AB179" s="4">
        <v>1</v>
      </c>
      <c r="AC179" s="4">
        <v>3</v>
      </c>
      <c r="AD179" s="4">
        <v>5</v>
      </c>
      <c r="AE179" s="4">
        <v>15</v>
      </c>
      <c r="AF179" s="4">
        <v>2</v>
      </c>
      <c r="AG179" s="4">
        <v>7</v>
      </c>
      <c r="AH179" s="4">
        <v>1</v>
      </c>
      <c r="AI179" s="4">
        <v>2</v>
      </c>
      <c r="AJ179" s="4">
        <v>3</v>
      </c>
      <c r="AK179" s="4">
        <v>6</v>
      </c>
      <c r="AL179" s="4">
        <v>0</v>
      </c>
      <c r="AM179" s="4">
        <v>2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>HYPERLINK("https://creighton-primo.hosted.exlibrisgroup.com/primo-explore/search?tab=default_tab&amp;search_scope=EVERYTHING&amp;vid=01CRU&amp;lang=en_US&amp;offset=0&amp;query=any,contains,991000910699702656","Catalog Record")</f>
        <v>Catalog Record</v>
      </c>
      <c r="AT179" s="6" t="str">
        <f>HYPERLINK("http://www.worldcat.org/oclc/154760414","WorldCat Record")</f>
        <v>WorldCat Record</v>
      </c>
    </row>
    <row r="180" spans="1:46" ht="40.5" customHeight="1" x14ac:dyDescent="0.25">
      <c r="A180" s="8" t="s">
        <v>58</v>
      </c>
      <c r="B180" s="2" t="s">
        <v>1902</v>
      </c>
      <c r="C180" s="2" t="s">
        <v>1903</v>
      </c>
      <c r="D180" s="2" t="s">
        <v>1904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L180" s="2" t="s">
        <v>1905</v>
      </c>
      <c r="M180" s="3" t="s">
        <v>95</v>
      </c>
      <c r="N180" s="2" t="s">
        <v>221</v>
      </c>
      <c r="O180" s="3" t="s">
        <v>64</v>
      </c>
      <c r="P180" s="3" t="s">
        <v>112</v>
      </c>
      <c r="R180" s="3" t="s">
        <v>1346</v>
      </c>
      <c r="S180" s="4">
        <v>11</v>
      </c>
      <c r="T180" s="4">
        <v>11</v>
      </c>
      <c r="U180" s="5" t="s">
        <v>1906</v>
      </c>
      <c r="V180" s="5" t="s">
        <v>1906</v>
      </c>
      <c r="W180" s="5" t="s">
        <v>1907</v>
      </c>
      <c r="X180" s="5" t="s">
        <v>1907</v>
      </c>
      <c r="Y180" s="4">
        <v>88</v>
      </c>
      <c r="Z180" s="4">
        <v>48</v>
      </c>
      <c r="AA180" s="4">
        <v>48</v>
      </c>
      <c r="AB180" s="4">
        <v>1</v>
      </c>
      <c r="AC180" s="4">
        <v>1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HYPERLINK("https://creighton-primo.hosted.exlibrisgroup.com/primo-explore/search?tab=default_tab&amp;search_scope=EVERYTHING&amp;vid=01CRU&amp;lang=en_US&amp;offset=0&amp;query=any,contains,991000365209702656","Catalog Record")</f>
        <v>Catalog Record</v>
      </c>
      <c r="AT180" s="6" t="str">
        <f>HYPERLINK("http://www.worldcat.org/oclc/46496670","WorldCat Record")</f>
        <v>WorldCat Record</v>
      </c>
    </row>
    <row r="181" spans="1:46" ht="40.5" customHeight="1" x14ac:dyDescent="0.25">
      <c r="A181" s="8" t="s">
        <v>58</v>
      </c>
      <c r="B181" s="2" t="s">
        <v>1908</v>
      </c>
      <c r="C181" s="2" t="s">
        <v>1909</v>
      </c>
      <c r="D181" s="2" t="s">
        <v>1910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59</v>
      </c>
      <c r="K181" s="2" t="s">
        <v>1773</v>
      </c>
      <c r="L181" s="2" t="s">
        <v>1911</v>
      </c>
      <c r="M181" s="3" t="s">
        <v>1023</v>
      </c>
      <c r="N181" s="2" t="s">
        <v>1675</v>
      </c>
      <c r="O181" s="3" t="s">
        <v>64</v>
      </c>
      <c r="P181" s="3" t="s">
        <v>65</v>
      </c>
      <c r="Q181" s="2" t="s">
        <v>1912</v>
      </c>
      <c r="R181" s="3" t="s">
        <v>1346</v>
      </c>
      <c r="S181" s="4">
        <v>2</v>
      </c>
      <c r="T181" s="4">
        <v>2</v>
      </c>
      <c r="U181" s="5" t="s">
        <v>1913</v>
      </c>
      <c r="V181" s="5" t="s">
        <v>1913</v>
      </c>
      <c r="W181" s="5" t="s">
        <v>1914</v>
      </c>
      <c r="X181" s="5" t="s">
        <v>1914</v>
      </c>
      <c r="Y181" s="4">
        <v>89</v>
      </c>
      <c r="Z181" s="4">
        <v>55</v>
      </c>
      <c r="AA181" s="4">
        <v>118</v>
      </c>
      <c r="AB181" s="4">
        <v>1</v>
      </c>
      <c r="AC181" s="4">
        <v>2</v>
      </c>
      <c r="AD181" s="4">
        <v>2</v>
      </c>
      <c r="AE181" s="4">
        <v>4</v>
      </c>
      <c r="AF181" s="4">
        <v>2</v>
      </c>
      <c r="AG181" s="4">
        <v>2</v>
      </c>
      <c r="AH181" s="4">
        <v>0</v>
      </c>
      <c r="AI181" s="4">
        <v>1</v>
      </c>
      <c r="AJ181" s="4">
        <v>1</v>
      </c>
      <c r="AK181" s="4">
        <v>1</v>
      </c>
      <c r="AL181" s="4">
        <v>0</v>
      </c>
      <c r="AM181" s="4">
        <v>1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HYPERLINK("https://creighton-primo.hosted.exlibrisgroup.com/primo-explore/search?tab=default_tab&amp;search_scope=EVERYTHING&amp;vid=01CRU&amp;lang=en_US&amp;offset=0&amp;query=any,contains,991000907159702656","Catalog Record")</f>
        <v>Catalog Record</v>
      </c>
      <c r="AT181" s="6" t="str">
        <f>HYPERLINK("http://www.worldcat.org/oclc/73994383","WorldCat Record")</f>
        <v>WorldCat Record</v>
      </c>
    </row>
    <row r="182" spans="1:46" ht="40.5" customHeight="1" x14ac:dyDescent="0.25">
      <c r="A182" s="8" t="s">
        <v>58</v>
      </c>
      <c r="B182" s="2" t="s">
        <v>1915</v>
      </c>
      <c r="C182" s="2" t="s">
        <v>1916</v>
      </c>
      <c r="D182" s="2" t="s">
        <v>1917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L182" s="2" t="s">
        <v>1918</v>
      </c>
      <c r="M182" s="3" t="s">
        <v>1037</v>
      </c>
      <c r="O182" s="3" t="s">
        <v>64</v>
      </c>
      <c r="P182" s="3" t="s">
        <v>65</v>
      </c>
      <c r="R182" s="3" t="s">
        <v>1346</v>
      </c>
      <c r="S182" s="4">
        <v>2</v>
      </c>
      <c r="T182" s="4">
        <v>2</v>
      </c>
      <c r="U182" s="5" t="s">
        <v>1919</v>
      </c>
      <c r="V182" s="5" t="s">
        <v>1919</v>
      </c>
      <c r="W182" s="5" t="s">
        <v>1920</v>
      </c>
      <c r="X182" s="5" t="s">
        <v>1920</v>
      </c>
      <c r="Y182" s="4">
        <v>99</v>
      </c>
      <c r="Z182" s="4">
        <v>90</v>
      </c>
      <c r="AA182" s="4">
        <v>584</v>
      </c>
      <c r="AB182" s="4">
        <v>1</v>
      </c>
      <c r="AC182" s="4">
        <v>21</v>
      </c>
      <c r="AD182" s="4">
        <v>1</v>
      </c>
      <c r="AE182" s="4">
        <v>14</v>
      </c>
      <c r="AF182" s="4">
        <v>1</v>
      </c>
      <c r="AG182" s="4">
        <v>4</v>
      </c>
      <c r="AH182" s="4">
        <v>0</v>
      </c>
      <c r="AI182" s="4">
        <v>2</v>
      </c>
      <c r="AJ182" s="4">
        <v>0</v>
      </c>
      <c r="AK182" s="4">
        <v>0</v>
      </c>
      <c r="AL182" s="4">
        <v>0</v>
      </c>
      <c r="AM182" s="4">
        <v>9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HYPERLINK("https://creighton-primo.hosted.exlibrisgroup.com/primo-explore/search?tab=default_tab&amp;search_scope=EVERYTHING&amp;vid=01CRU&amp;lang=en_US&amp;offset=0&amp;query=any,contains,991001554389702656","Catalog Record")</f>
        <v>Catalog Record</v>
      </c>
      <c r="AT182" s="6" t="str">
        <f>HYPERLINK("http://www.worldcat.org/oclc/226279657","WorldCat Record")</f>
        <v>WorldCat Record</v>
      </c>
    </row>
    <row r="183" spans="1:46" ht="40.5" customHeight="1" x14ac:dyDescent="0.25">
      <c r="A183" s="8" t="s">
        <v>58</v>
      </c>
      <c r="B183" s="2" t="s">
        <v>1921</v>
      </c>
      <c r="C183" s="2" t="s">
        <v>1922</v>
      </c>
      <c r="D183" s="2" t="s">
        <v>1923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L183" s="2" t="s">
        <v>1924</v>
      </c>
      <c r="M183" s="3" t="s">
        <v>1925</v>
      </c>
      <c r="N183" s="2" t="s">
        <v>1767</v>
      </c>
      <c r="O183" s="3" t="s">
        <v>64</v>
      </c>
      <c r="P183" s="3" t="s">
        <v>65</v>
      </c>
      <c r="R183" s="3" t="s">
        <v>1346</v>
      </c>
      <c r="S183" s="4">
        <v>1</v>
      </c>
      <c r="T183" s="4">
        <v>1</v>
      </c>
      <c r="U183" s="5" t="s">
        <v>1926</v>
      </c>
      <c r="V183" s="5" t="s">
        <v>1926</v>
      </c>
      <c r="W183" s="5" t="s">
        <v>1927</v>
      </c>
      <c r="X183" s="5" t="s">
        <v>1927</v>
      </c>
      <c r="Y183" s="4">
        <v>83</v>
      </c>
      <c r="Z183" s="4">
        <v>52</v>
      </c>
      <c r="AA183" s="4">
        <v>1124</v>
      </c>
      <c r="AB183" s="4">
        <v>1</v>
      </c>
      <c r="AC183" s="4">
        <v>27</v>
      </c>
      <c r="AD183" s="4">
        <v>2</v>
      </c>
      <c r="AE183" s="4">
        <v>33</v>
      </c>
      <c r="AF183" s="4">
        <v>0</v>
      </c>
      <c r="AG183" s="4">
        <v>9</v>
      </c>
      <c r="AH183" s="4">
        <v>2</v>
      </c>
      <c r="AI183" s="4">
        <v>8</v>
      </c>
      <c r="AJ183" s="4">
        <v>1</v>
      </c>
      <c r="AK183" s="4">
        <v>11</v>
      </c>
      <c r="AL183" s="4">
        <v>0</v>
      </c>
      <c r="AM183" s="4">
        <v>12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HYPERLINK("https://creighton-primo.hosted.exlibrisgroup.com/primo-explore/search?tab=default_tab&amp;search_scope=EVERYTHING&amp;vid=01CRU&amp;lang=en_US&amp;offset=0&amp;query=any,contains,991000330449702656","Catalog Record")</f>
        <v>Catalog Record</v>
      </c>
      <c r="AT183" s="6" t="str">
        <f>HYPERLINK("http://www.worldcat.org/oclc/46970649","WorldCat Record")</f>
        <v>WorldCat Record</v>
      </c>
    </row>
    <row r="184" spans="1:46" ht="40.5" customHeight="1" x14ac:dyDescent="0.25">
      <c r="A184" s="8" t="s">
        <v>58</v>
      </c>
      <c r="B184" s="2" t="s">
        <v>1928</v>
      </c>
      <c r="C184" s="2" t="s">
        <v>1929</v>
      </c>
      <c r="D184" s="2" t="s">
        <v>1930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1931</v>
      </c>
      <c r="M184" s="3" t="s">
        <v>95</v>
      </c>
      <c r="O184" s="3" t="s">
        <v>64</v>
      </c>
      <c r="P184" s="3" t="s">
        <v>1932</v>
      </c>
      <c r="R184" s="3" t="s">
        <v>1346</v>
      </c>
      <c r="S184" s="4">
        <v>23</v>
      </c>
      <c r="T184" s="4">
        <v>23</v>
      </c>
      <c r="U184" s="5" t="s">
        <v>1933</v>
      </c>
      <c r="V184" s="5" t="s">
        <v>1933</v>
      </c>
      <c r="W184" s="5" t="s">
        <v>1934</v>
      </c>
      <c r="X184" s="5" t="s">
        <v>1934</v>
      </c>
      <c r="Y184" s="4">
        <v>27</v>
      </c>
      <c r="Z184" s="4">
        <v>23</v>
      </c>
      <c r="AA184" s="4">
        <v>25</v>
      </c>
      <c r="AB184" s="4">
        <v>2</v>
      </c>
      <c r="AC184" s="4">
        <v>2</v>
      </c>
      <c r="AD184" s="4">
        <v>1</v>
      </c>
      <c r="AE184" s="4">
        <v>1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1</v>
      </c>
      <c r="AM184" s="4">
        <v>1</v>
      </c>
      <c r="AN184" s="4">
        <v>0</v>
      </c>
      <c r="AO184" s="4">
        <v>0</v>
      </c>
      <c r="AP184" s="3" t="s">
        <v>58</v>
      </c>
      <c r="AQ184" s="3" t="s">
        <v>115</v>
      </c>
      <c r="AR184" s="6" t="str">
        <f>HYPERLINK("http://catalog.hathitrust.org/Record/004238173","HathiTrust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HYPERLINK("https://creighton-primo.hosted.exlibrisgroup.com/primo-explore/search?tab=default_tab&amp;search_scope=EVERYTHING&amp;vid=01CRU&amp;lang=en_US&amp;offset=0&amp;query=any,contains,991000293099702656","Catalog Record")</f>
        <v>Catalog Record</v>
      </c>
      <c r="AT184" s="6" t="str">
        <f>HYPERLINK("http://www.worldcat.org/oclc/48125059","WorldCat Record")</f>
        <v>WorldCat Record</v>
      </c>
    </row>
    <row r="185" spans="1:46" ht="40.5" customHeight="1" x14ac:dyDescent="0.25">
      <c r="A185" s="8" t="s">
        <v>58</v>
      </c>
      <c r="B185" s="2" t="s">
        <v>1935</v>
      </c>
      <c r="C185" s="2" t="s">
        <v>1936</v>
      </c>
      <c r="D185" s="2" t="s">
        <v>1937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1938</v>
      </c>
      <c r="L185" s="2" t="s">
        <v>1939</v>
      </c>
      <c r="M185" s="3" t="s">
        <v>993</v>
      </c>
      <c r="N185" s="2" t="s">
        <v>936</v>
      </c>
      <c r="O185" s="3" t="s">
        <v>64</v>
      </c>
      <c r="P185" s="3" t="s">
        <v>65</v>
      </c>
      <c r="R185" s="3" t="s">
        <v>1346</v>
      </c>
      <c r="S185" s="4">
        <v>6</v>
      </c>
      <c r="T185" s="4">
        <v>6</v>
      </c>
      <c r="U185" s="5" t="s">
        <v>1940</v>
      </c>
      <c r="V185" s="5" t="s">
        <v>1940</v>
      </c>
      <c r="W185" s="5" t="s">
        <v>1941</v>
      </c>
      <c r="X185" s="5" t="s">
        <v>1941</v>
      </c>
      <c r="Y185" s="4">
        <v>92</v>
      </c>
      <c r="Z185" s="4">
        <v>83</v>
      </c>
      <c r="AA185" s="4">
        <v>297</v>
      </c>
      <c r="AB185" s="4">
        <v>1</v>
      </c>
      <c r="AC185" s="4">
        <v>1</v>
      </c>
      <c r="AD185" s="4">
        <v>0</v>
      </c>
      <c r="AE185" s="4">
        <v>1</v>
      </c>
      <c r="AF185" s="4">
        <v>0</v>
      </c>
      <c r="AG185" s="4">
        <v>1</v>
      </c>
      <c r="AH185" s="4">
        <v>0</v>
      </c>
      <c r="AI185" s="4">
        <v>0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HYPERLINK("https://creighton-primo.hosted.exlibrisgroup.com/primo-explore/search?tab=default_tab&amp;search_scope=EVERYTHING&amp;vid=01CRU&amp;lang=en_US&amp;offset=0&amp;query=any,contains,991001549129702656","Catalog Record")</f>
        <v>Catalog Record</v>
      </c>
      <c r="AT185" s="6" t="str">
        <f>HYPERLINK("http://www.worldcat.org/oclc/39202451","WorldCat Record")</f>
        <v>WorldCat Record</v>
      </c>
    </row>
    <row r="186" spans="1:46" ht="40.5" customHeight="1" x14ac:dyDescent="0.25">
      <c r="A186" s="8" t="s">
        <v>58</v>
      </c>
      <c r="B186" s="2" t="s">
        <v>1942</v>
      </c>
      <c r="C186" s="2" t="s">
        <v>1943</v>
      </c>
      <c r="D186" s="2" t="s">
        <v>1944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1945</v>
      </c>
      <c r="L186" s="2" t="s">
        <v>1946</v>
      </c>
      <c r="M186" s="3" t="s">
        <v>189</v>
      </c>
      <c r="O186" s="3" t="s">
        <v>64</v>
      </c>
      <c r="P186" s="3" t="s">
        <v>1947</v>
      </c>
      <c r="R186" s="3" t="s">
        <v>1346</v>
      </c>
      <c r="S186" s="4">
        <v>2</v>
      </c>
      <c r="T186" s="4">
        <v>2</v>
      </c>
      <c r="U186" s="5" t="s">
        <v>1851</v>
      </c>
      <c r="V186" s="5" t="s">
        <v>1851</v>
      </c>
      <c r="W186" s="5" t="s">
        <v>1778</v>
      </c>
      <c r="X186" s="5" t="s">
        <v>1778</v>
      </c>
      <c r="Y186" s="4">
        <v>50</v>
      </c>
      <c r="Z186" s="4">
        <v>31</v>
      </c>
      <c r="AA186" s="4">
        <v>31</v>
      </c>
      <c r="AB186" s="4">
        <v>1</v>
      </c>
      <c r="AC186" s="4">
        <v>1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HYPERLINK("https://creighton-primo.hosted.exlibrisgroup.com/primo-explore/search?tab=default_tab&amp;search_scope=EVERYTHING&amp;vid=01CRU&amp;lang=en_US&amp;offset=0&amp;query=any,contains,991001511439702656","Catalog Record")</f>
        <v>Catalog Record</v>
      </c>
      <c r="AT186" s="6" t="str">
        <f>HYPERLINK("http://www.worldcat.org/oclc/26638181","WorldCat Record")</f>
        <v>WorldCat Record</v>
      </c>
    </row>
    <row r="187" spans="1:46" ht="40.5" customHeight="1" x14ac:dyDescent="0.25">
      <c r="A187" s="8" t="s">
        <v>58</v>
      </c>
      <c r="B187" s="2" t="s">
        <v>1948</v>
      </c>
      <c r="C187" s="2" t="s">
        <v>1949</v>
      </c>
      <c r="D187" s="2" t="s">
        <v>1950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L187" s="2" t="s">
        <v>1951</v>
      </c>
      <c r="M187" s="3" t="s">
        <v>111</v>
      </c>
      <c r="O187" s="3" t="s">
        <v>64</v>
      </c>
      <c r="P187" s="3" t="s">
        <v>685</v>
      </c>
      <c r="Q187" s="2" t="s">
        <v>1952</v>
      </c>
      <c r="R187" s="3" t="s">
        <v>1346</v>
      </c>
      <c r="S187" s="4">
        <v>4</v>
      </c>
      <c r="T187" s="4">
        <v>4</v>
      </c>
      <c r="U187" s="5" t="s">
        <v>1953</v>
      </c>
      <c r="V187" s="5" t="s">
        <v>1953</v>
      </c>
      <c r="W187" s="5" t="s">
        <v>1348</v>
      </c>
      <c r="X187" s="5" t="s">
        <v>1348</v>
      </c>
      <c r="Y187" s="4">
        <v>12</v>
      </c>
      <c r="Z187" s="4">
        <v>7</v>
      </c>
      <c r="AA187" s="4">
        <v>9</v>
      </c>
      <c r="AB187" s="4">
        <v>1</v>
      </c>
      <c r="AC187" s="4">
        <v>1</v>
      </c>
      <c r="AD187" s="4">
        <v>1</v>
      </c>
      <c r="AE187" s="4">
        <v>1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1</v>
      </c>
      <c r="AO187" s="4">
        <v>1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HYPERLINK("https://creighton-primo.hosted.exlibrisgroup.com/primo-explore/search?tab=default_tab&amp;search_scope=EVERYTHING&amp;vid=01CRU&amp;lang=en_US&amp;offset=0&amp;query=any,contains,991000950599702656","Catalog Record")</f>
        <v>Catalog Record</v>
      </c>
      <c r="AT187" s="6" t="str">
        <f>HYPERLINK("http://www.worldcat.org/oclc/5000869","WorldCat Record")</f>
        <v>WorldCat Record</v>
      </c>
    </row>
    <row r="188" spans="1:46" ht="40.5" customHeight="1" x14ac:dyDescent="0.25">
      <c r="A188" s="8" t="s">
        <v>58</v>
      </c>
      <c r="B188" s="2" t="s">
        <v>1954</v>
      </c>
      <c r="C188" s="2" t="s">
        <v>1955</v>
      </c>
      <c r="D188" s="2" t="s">
        <v>1956</v>
      </c>
      <c r="F188" s="3" t="s">
        <v>58</v>
      </c>
      <c r="G188" s="3" t="s">
        <v>59</v>
      </c>
      <c r="H188" s="3" t="s">
        <v>58</v>
      </c>
      <c r="I188" s="3" t="s">
        <v>115</v>
      </c>
      <c r="J188" s="3" t="s">
        <v>60</v>
      </c>
      <c r="K188" s="2" t="s">
        <v>1957</v>
      </c>
      <c r="L188" s="2" t="s">
        <v>1958</v>
      </c>
      <c r="M188" s="3" t="s">
        <v>1925</v>
      </c>
      <c r="O188" s="3" t="s">
        <v>64</v>
      </c>
      <c r="P188" s="3" t="s">
        <v>755</v>
      </c>
      <c r="R188" s="3" t="s">
        <v>1346</v>
      </c>
      <c r="S188" s="4">
        <v>22</v>
      </c>
      <c r="T188" s="4">
        <v>22</v>
      </c>
      <c r="U188" s="5" t="s">
        <v>1768</v>
      </c>
      <c r="V188" s="5" t="s">
        <v>1768</v>
      </c>
      <c r="W188" s="5" t="s">
        <v>1959</v>
      </c>
      <c r="X188" s="5" t="s">
        <v>1959</v>
      </c>
      <c r="Y188" s="4">
        <v>79</v>
      </c>
      <c r="Z188" s="4">
        <v>51</v>
      </c>
      <c r="AA188" s="4">
        <v>150</v>
      </c>
      <c r="AB188" s="4">
        <v>1</v>
      </c>
      <c r="AC188" s="4">
        <v>1</v>
      </c>
      <c r="AD188" s="4">
        <v>2</v>
      </c>
      <c r="AE188" s="4">
        <v>7</v>
      </c>
      <c r="AF188" s="4">
        <v>0</v>
      </c>
      <c r="AG188" s="4">
        <v>4</v>
      </c>
      <c r="AH188" s="4">
        <v>2</v>
      </c>
      <c r="AI188" s="4">
        <v>2</v>
      </c>
      <c r="AJ188" s="4">
        <v>0</v>
      </c>
      <c r="AK188" s="4">
        <v>2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115</v>
      </c>
      <c r="AR188" s="6" t="str">
        <f>HYPERLINK("http://catalog.hathitrust.org/Record/004316695","HathiTrust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HYPERLINK("https://creighton-primo.hosted.exlibrisgroup.com/primo-explore/search?tab=default_tab&amp;search_scope=EVERYTHING&amp;vid=01CRU&amp;lang=en_US&amp;offset=0&amp;query=any,contains,991000347439702656","Catalog Record")</f>
        <v>Catalog Record</v>
      </c>
      <c r="AT188" s="6" t="str">
        <f>HYPERLINK("http://www.worldcat.org/oclc/50639318","WorldCat Record")</f>
        <v>WorldCat Record</v>
      </c>
    </row>
    <row r="189" spans="1:46" ht="40.5" customHeight="1" x14ac:dyDescent="0.25">
      <c r="A189" s="8" t="s">
        <v>58</v>
      </c>
      <c r="B189" s="2" t="s">
        <v>1960</v>
      </c>
      <c r="C189" s="2" t="s">
        <v>1961</v>
      </c>
      <c r="D189" s="2" t="s">
        <v>1956</v>
      </c>
      <c r="F189" s="3" t="s">
        <v>58</v>
      </c>
      <c r="G189" s="3" t="s">
        <v>59</v>
      </c>
      <c r="H189" s="3" t="s">
        <v>58</v>
      </c>
      <c r="I189" s="3" t="s">
        <v>115</v>
      </c>
      <c r="J189" s="3" t="s">
        <v>60</v>
      </c>
      <c r="K189" s="2" t="s">
        <v>1957</v>
      </c>
      <c r="L189" s="2" t="s">
        <v>1962</v>
      </c>
      <c r="M189" s="3" t="s">
        <v>468</v>
      </c>
      <c r="N189" s="2" t="s">
        <v>143</v>
      </c>
      <c r="O189" s="3" t="s">
        <v>64</v>
      </c>
      <c r="P189" s="3" t="s">
        <v>755</v>
      </c>
      <c r="R189" s="3" t="s">
        <v>1346</v>
      </c>
      <c r="S189" s="4">
        <v>37</v>
      </c>
      <c r="T189" s="4">
        <v>37</v>
      </c>
      <c r="U189" s="5" t="s">
        <v>1963</v>
      </c>
      <c r="V189" s="5" t="s">
        <v>1963</v>
      </c>
      <c r="W189" s="5" t="s">
        <v>1964</v>
      </c>
      <c r="X189" s="5" t="s">
        <v>1964</v>
      </c>
      <c r="Y189" s="4">
        <v>94</v>
      </c>
      <c r="Z189" s="4">
        <v>57</v>
      </c>
      <c r="AA189" s="4">
        <v>150</v>
      </c>
      <c r="AB189" s="4">
        <v>1</v>
      </c>
      <c r="AC189" s="4">
        <v>1</v>
      </c>
      <c r="AD189" s="4">
        <v>0</v>
      </c>
      <c r="AE189" s="4">
        <v>7</v>
      </c>
      <c r="AF189" s="4">
        <v>0</v>
      </c>
      <c r="AG189" s="4">
        <v>4</v>
      </c>
      <c r="AH189" s="4">
        <v>0</v>
      </c>
      <c r="AI189" s="4">
        <v>2</v>
      </c>
      <c r="AJ189" s="4">
        <v>0</v>
      </c>
      <c r="AK189" s="4">
        <v>2</v>
      </c>
      <c r="AL189" s="4">
        <v>0</v>
      </c>
      <c r="AM189" s="4">
        <v>0</v>
      </c>
      <c r="AN189" s="4">
        <v>0</v>
      </c>
      <c r="AO189" s="4">
        <v>0</v>
      </c>
      <c r="AP189" s="3" t="s">
        <v>58</v>
      </c>
      <c r="AQ189" s="3" t="s">
        <v>115</v>
      </c>
      <c r="AR189" s="6" t="str">
        <f>HYPERLINK("http://catalog.hathitrust.org/Record/005088001","HathiTrust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HYPERLINK("https://creighton-primo.hosted.exlibrisgroup.com/primo-explore/search?tab=default_tab&amp;search_scope=EVERYTHING&amp;vid=01CRU&amp;lang=en_US&amp;offset=0&amp;query=any,contains,991000529869702656","Catalog Record")</f>
        <v>Catalog Record</v>
      </c>
      <c r="AT189" s="6" t="str">
        <f>HYPERLINK("http://www.worldcat.org/oclc/57514962","WorldCat Record")</f>
        <v>WorldCat Record</v>
      </c>
    </row>
    <row r="190" spans="1:46" ht="40.5" customHeight="1" x14ac:dyDescent="0.25">
      <c r="A190" s="8" t="s">
        <v>58</v>
      </c>
      <c r="B190" s="2" t="s">
        <v>1965</v>
      </c>
      <c r="C190" s="2" t="s">
        <v>1966</v>
      </c>
      <c r="D190" s="2" t="s">
        <v>1967</v>
      </c>
      <c r="F190" s="3" t="s">
        <v>58</v>
      </c>
      <c r="G190" s="3" t="s">
        <v>59</v>
      </c>
      <c r="H190" s="3" t="s">
        <v>58</v>
      </c>
      <c r="I190" s="3" t="s">
        <v>115</v>
      </c>
      <c r="J190" s="3" t="s">
        <v>60</v>
      </c>
      <c r="K190" s="2" t="s">
        <v>1968</v>
      </c>
      <c r="L190" s="2" t="s">
        <v>1969</v>
      </c>
      <c r="M190" s="3" t="s">
        <v>424</v>
      </c>
      <c r="O190" s="3" t="s">
        <v>64</v>
      </c>
      <c r="P190" s="3" t="s">
        <v>1149</v>
      </c>
      <c r="R190" s="3" t="s">
        <v>1346</v>
      </c>
      <c r="S190" s="4">
        <v>19</v>
      </c>
      <c r="T190" s="4">
        <v>19</v>
      </c>
      <c r="U190" s="5" t="s">
        <v>1970</v>
      </c>
      <c r="V190" s="5" t="s">
        <v>1970</v>
      </c>
      <c r="W190" s="5" t="s">
        <v>1971</v>
      </c>
      <c r="X190" s="5" t="s">
        <v>1971</v>
      </c>
      <c r="Y190" s="4">
        <v>51</v>
      </c>
      <c r="Z190" s="4">
        <v>38</v>
      </c>
      <c r="AA190" s="4">
        <v>88</v>
      </c>
      <c r="AB190" s="4">
        <v>1</v>
      </c>
      <c r="AC190" s="4">
        <v>1</v>
      </c>
      <c r="AD190" s="4">
        <v>2</v>
      </c>
      <c r="AE190" s="4">
        <v>5</v>
      </c>
      <c r="AF190" s="4">
        <v>1</v>
      </c>
      <c r="AG190" s="4">
        <v>4</v>
      </c>
      <c r="AH190" s="4">
        <v>1</v>
      </c>
      <c r="AI190" s="4">
        <v>2</v>
      </c>
      <c r="AJ190" s="4">
        <v>0</v>
      </c>
      <c r="AK190" s="4">
        <v>1</v>
      </c>
      <c r="AL190" s="4">
        <v>0</v>
      </c>
      <c r="AM190" s="4">
        <v>0</v>
      </c>
      <c r="AN190" s="4">
        <v>0</v>
      </c>
      <c r="AO190" s="4">
        <v>0</v>
      </c>
      <c r="AP190" s="3" t="s">
        <v>58</v>
      </c>
      <c r="AQ190" s="3" t="s">
        <v>115</v>
      </c>
      <c r="AR190" s="6" t="str">
        <f>HYPERLINK("http://catalog.hathitrust.org/Record/002985532","HathiTrust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HYPERLINK("https://creighton-primo.hosted.exlibrisgroup.com/primo-explore/search?tab=default_tab&amp;search_scope=EVERYTHING&amp;vid=01CRU&amp;lang=en_US&amp;offset=0&amp;query=any,contains,991001403449702656","Catalog Record")</f>
        <v>Catalog Record</v>
      </c>
      <c r="AT190" s="6" t="str">
        <f>HYPERLINK("http://www.worldcat.org/oclc/31272352","WorldCat Record")</f>
        <v>WorldCat Record</v>
      </c>
    </row>
    <row r="191" spans="1:46" ht="40.5" customHeight="1" x14ac:dyDescent="0.25">
      <c r="A191" s="8" t="s">
        <v>58</v>
      </c>
      <c r="B191" s="2" t="s">
        <v>1972</v>
      </c>
      <c r="C191" s="2" t="s">
        <v>1973</v>
      </c>
      <c r="D191" s="2" t="s">
        <v>1974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1975</v>
      </c>
      <c r="L191" s="2" t="s">
        <v>1976</v>
      </c>
      <c r="M191" s="3" t="s">
        <v>159</v>
      </c>
      <c r="O191" s="3" t="s">
        <v>64</v>
      </c>
      <c r="P191" s="3" t="s">
        <v>265</v>
      </c>
      <c r="R191" s="3" t="s">
        <v>1346</v>
      </c>
      <c r="S191" s="4">
        <v>2</v>
      </c>
      <c r="T191" s="4">
        <v>2</v>
      </c>
      <c r="U191" s="5" t="s">
        <v>1647</v>
      </c>
      <c r="V191" s="5" t="s">
        <v>1647</v>
      </c>
      <c r="W191" s="5" t="s">
        <v>1977</v>
      </c>
      <c r="X191" s="5" t="s">
        <v>1977</v>
      </c>
      <c r="Y191" s="4">
        <v>58</v>
      </c>
      <c r="Z191" s="4">
        <v>46</v>
      </c>
      <c r="AA191" s="4">
        <v>50</v>
      </c>
      <c r="AB191" s="4">
        <v>1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3" t="s">
        <v>58</v>
      </c>
      <c r="AQ191" s="3" t="s">
        <v>58</v>
      </c>
      <c r="AR191" s="6" t="str">
        <f>HYPERLINK("http://catalog.hathitrust.org/Record/002075340","HathiTrust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HYPERLINK("https://creighton-primo.hosted.exlibrisgroup.com/primo-explore/search?tab=default_tab&amp;search_scope=EVERYTHING&amp;vid=01CRU&amp;lang=en_US&amp;offset=0&amp;query=any,contains,991000950639702656","Catalog Record")</f>
        <v>Catalog Record</v>
      </c>
      <c r="AT191" s="6" t="str">
        <f>HYPERLINK("http://www.worldcat.org/oclc/14618687","WorldCat Record")</f>
        <v>WorldCat Record</v>
      </c>
    </row>
    <row r="192" spans="1:46" ht="40.5" customHeight="1" x14ac:dyDescent="0.25">
      <c r="A192" s="8" t="s">
        <v>58</v>
      </c>
      <c r="B192" s="2" t="s">
        <v>1978</v>
      </c>
      <c r="C192" s="2" t="s">
        <v>1979</v>
      </c>
      <c r="D192" s="2" t="s">
        <v>1980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1981</v>
      </c>
      <c r="M192" s="3" t="s">
        <v>408</v>
      </c>
      <c r="O192" s="3" t="s">
        <v>64</v>
      </c>
      <c r="P192" s="3" t="s">
        <v>1149</v>
      </c>
      <c r="Q192" s="2" t="s">
        <v>1982</v>
      </c>
      <c r="R192" s="3" t="s">
        <v>1346</v>
      </c>
      <c r="S192" s="4">
        <v>40</v>
      </c>
      <c r="T192" s="4">
        <v>40</v>
      </c>
      <c r="U192" s="5" t="s">
        <v>1983</v>
      </c>
      <c r="V192" s="5" t="s">
        <v>1983</v>
      </c>
      <c r="W192" s="5" t="s">
        <v>1436</v>
      </c>
      <c r="X192" s="5" t="s">
        <v>1436</v>
      </c>
      <c r="Y192" s="4">
        <v>65</v>
      </c>
      <c r="Z192" s="4">
        <v>55</v>
      </c>
      <c r="AA192" s="4">
        <v>66</v>
      </c>
      <c r="AB192" s="4">
        <v>0</v>
      </c>
      <c r="AC192" s="4">
        <v>1</v>
      </c>
      <c r="AD192" s="4">
        <v>3</v>
      </c>
      <c r="AE192" s="4">
        <v>5</v>
      </c>
      <c r="AF192" s="4">
        <v>1</v>
      </c>
      <c r="AG192" s="4">
        <v>1</v>
      </c>
      <c r="AH192" s="4">
        <v>1</v>
      </c>
      <c r="AI192" s="4">
        <v>2</v>
      </c>
      <c r="AJ192" s="4">
        <v>0</v>
      </c>
      <c r="AK192" s="4">
        <v>0</v>
      </c>
      <c r="AL192" s="4">
        <v>0</v>
      </c>
      <c r="AM192" s="4">
        <v>1</v>
      </c>
      <c r="AN192" s="4">
        <v>1</v>
      </c>
      <c r="AO192" s="4">
        <v>1</v>
      </c>
      <c r="AP192" s="3" t="s">
        <v>115</v>
      </c>
      <c r="AQ192" s="3" t="s">
        <v>115</v>
      </c>
      <c r="AR192" s="6" t="str">
        <f>HYPERLINK("http://catalog.hathitrust.org/Record/000615517","HathiTrust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HYPERLINK("https://creighton-primo.hosted.exlibrisgroup.com/primo-explore/search?tab=default_tab&amp;search_scope=EVERYTHING&amp;vid=01CRU&amp;lang=en_US&amp;offset=0&amp;query=any,contains,991000222339702656","Catalog Record")</f>
        <v>Catalog Record</v>
      </c>
      <c r="AT192" s="6" t="str">
        <f>HYPERLINK("http://www.worldcat.org/oclc/21483167","WorldCat Record")</f>
        <v>WorldCat Record</v>
      </c>
    </row>
    <row r="193" spans="1:46" ht="40.5" customHeight="1" x14ac:dyDescent="0.25">
      <c r="A193" s="8" t="s">
        <v>58</v>
      </c>
      <c r="B193" s="2" t="s">
        <v>1984</v>
      </c>
      <c r="C193" s="2" t="s">
        <v>1985</v>
      </c>
      <c r="D193" s="2" t="s">
        <v>1986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59</v>
      </c>
      <c r="K193" s="2" t="s">
        <v>1987</v>
      </c>
      <c r="L193" s="2" t="s">
        <v>1988</v>
      </c>
      <c r="M193" s="3" t="s">
        <v>921</v>
      </c>
      <c r="N193" s="2" t="s">
        <v>143</v>
      </c>
      <c r="O193" s="3" t="s">
        <v>64</v>
      </c>
      <c r="P193" s="3" t="s">
        <v>65</v>
      </c>
      <c r="R193" s="3" t="s">
        <v>1346</v>
      </c>
      <c r="S193" s="4">
        <v>1</v>
      </c>
      <c r="T193" s="4">
        <v>1</v>
      </c>
      <c r="U193" s="5" t="s">
        <v>1989</v>
      </c>
      <c r="V193" s="5" t="s">
        <v>1989</v>
      </c>
      <c r="W193" s="5" t="s">
        <v>1990</v>
      </c>
      <c r="X193" s="5" t="s">
        <v>1990</v>
      </c>
      <c r="Y193" s="4">
        <v>128</v>
      </c>
      <c r="Z193" s="4">
        <v>78</v>
      </c>
      <c r="AA193" s="4">
        <v>178</v>
      </c>
      <c r="AB193" s="4">
        <v>1</v>
      </c>
      <c r="AC193" s="4">
        <v>2</v>
      </c>
      <c r="AD193" s="4">
        <v>2</v>
      </c>
      <c r="AE193" s="4">
        <v>9</v>
      </c>
      <c r="AF193" s="4">
        <v>1</v>
      </c>
      <c r="AG193" s="4">
        <v>6</v>
      </c>
      <c r="AH193" s="4">
        <v>1</v>
      </c>
      <c r="AI193" s="4">
        <v>2</v>
      </c>
      <c r="AJ193" s="4">
        <v>0</v>
      </c>
      <c r="AK193" s="4">
        <v>2</v>
      </c>
      <c r="AL193" s="4">
        <v>0</v>
      </c>
      <c r="AM193" s="4">
        <v>1</v>
      </c>
      <c r="AN193" s="4">
        <v>0</v>
      </c>
      <c r="AO193" s="4">
        <v>0</v>
      </c>
      <c r="AP193" s="3" t="s">
        <v>58</v>
      </c>
      <c r="AQ193" s="3" t="s">
        <v>115</v>
      </c>
      <c r="AR193" s="6" t="str">
        <f>HYPERLINK("http://catalog.hathitrust.org/Record/004735061","HathiTrust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HYPERLINK("https://creighton-primo.hosted.exlibrisgroup.com/primo-explore/search?tab=default_tab&amp;search_scope=EVERYTHING&amp;vid=01CRU&amp;lang=en_US&amp;offset=0&amp;query=any,contains,991000411289702656","Catalog Record")</f>
        <v>Catalog Record</v>
      </c>
      <c r="AT193" s="6" t="str">
        <f>HYPERLINK("http://www.worldcat.org/oclc/53286287","WorldCat Record")</f>
        <v>WorldCat Record</v>
      </c>
    </row>
    <row r="194" spans="1:46" ht="40.5" customHeight="1" x14ac:dyDescent="0.25">
      <c r="A194" s="8" t="s">
        <v>58</v>
      </c>
      <c r="B194" s="2" t="s">
        <v>1991</v>
      </c>
      <c r="C194" s="2" t="s">
        <v>1992</v>
      </c>
      <c r="D194" s="2" t="s">
        <v>1993</v>
      </c>
      <c r="F194" s="3" t="s">
        <v>58</v>
      </c>
      <c r="G194" s="3" t="s">
        <v>59</v>
      </c>
      <c r="H194" s="3" t="s">
        <v>58</v>
      </c>
      <c r="I194" s="3" t="s">
        <v>115</v>
      </c>
      <c r="J194" s="3" t="s">
        <v>60</v>
      </c>
      <c r="L194" s="2" t="s">
        <v>1994</v>
      </c>
      <c r="M194" s="3" t="s">
        <v>1511</v>
      </c>
      <c r="N194" s="2" t="s">
        <v>143</v>
      </c>
      <c r="O194" s="3" t="s">
        <v>64</v>
      </c>
      <c r="P194" s="3" t="s">
        <v>1355</v>
      </c>
      <c r="R194" s="3" t="s">
        <v>1346</v>
      </c>
      <c r="S194" s="4">
        <v>22</v>
      </c>
      <c r="T194" s="4">
        <v>22</v>
      </c>
      <c r="U194" s="5" t="s">
        <v>1983</v>
      </c>
      <c r="V194" s="5" t="s">
        <v>1983</v>
      </c>
      <c r="W194" s="5" t="s">
        <v>1995</v>
      </c>
      <c r="X194" s="5" t="s">
        <v>1995</v>
      </c>
      <c r="Y194" s="4">
        <v>62</v>
      </c>
      <c r="Z194" s="4">
        <v>39</v>
      </c>
      <c r="AA194" s="4">
        <v>221</v>
      </c>
      <c r="AB194" s="4">
        <v>1</v>
      </c>
      <c r="AC194" s="4">
        <v>2</v>
      </c>
      <c r="AD194" s="4">
        <v>1</v>
      </c>
      <c r="AE194" s="4">
        <v>9</v>
      </c>
      <c r="AF194" s="4">
        <v>1</v>
      </c>
      <c r="AG194" s="4">
        <v>6</v>
      </c>
      <c r="AH194" s="4">
        <v>0</v>
      </c>
      <c r="AI194" s="4">
        <v>3</v>
      </c>
      <c r="AJ194" s="4">
        <v>0</v>
      </c>
      <c r="AK194" s="4">
        <v>1</v>
      </c>
      <c r="AL194" s="4">
        <v>0</v>
      </c>
      <c r="AM194" s="4">
        <v>1</v>
      </c>
      <c r="AN194" s="4">
        <v>0</v>
      </c>
      <c r="AO194" s="4">
        <v>0</v>
      </c>
      <c r="AP194" s="3" t="s">
        <v>58</v>
      </c>
      <c r="AQ194" s="3" t="s">
        <v>115</v>
      </c>
      <c r="AR194" s="6" t="str">
        <f>HYPERLINK("http://catalog.hathitrust.org/Record/001817904","HathiTrust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HYPERLINK("https://creighton-primo.hosted.exlibrisgroup.com/primo-explore/search?tab=default_tab&amp;search_scope=EVERYTHING&amp;vid=01CRU&amp;lang=en_US&amp;offset=0&amp;query=any,contains,991001312779702656","Catalog Record")</f>
        <v>Catalog Record</v>
      </c>
      <c r="AT194" s="6" t="str">
        <f>HYPERLINK("http://www.worldcat.org/oclc/19723746","WorldCat Record")</f>
        <v>WorldCat Record</v>
      </c>
    </row>
    <row r="195" spans="1:46" ht="40.5" customHeight="1" x14ac:dyDescent="0.25">
      <c r="A195" s="8" t="s">
        <v>58</v>
      </c>
      <c r="B195" s="2" t="s">
        <v>1996</v>
      </c>
      <c r="C195" s="2" t="s">
        <v>1997</v>
      </c>
      <c r="D195" s="2" t="s">
        <v>1993</v>
      </c>
      <c r="F195" s="3" t="s">
        <v>58</v>
      </c>
      <c r="G195" s="3" t="s">
        <v>59</v>
      </c>
      <c r="H195" s="3" t="s">
        <v>58</v>
      </c>
      <c r="I195" s="3" t="s">
        <v>115</v>
      </c>
      <c r="J195" s="3" t="s">
        <v>60</v>
      </c>
      <c r="L195" s="2" t="s">
        <v>1998</v>
      </c>
      <c r="M195" s="3" t="s">
        <v>424</v>
      </c>
      <c r="N195" s="2" t="s">
        <v>936</v>
      </c>
      <c r="O195" s="3" t="s">
        <v>64</v>
      </c>
      <c r="P195" s="3" t="s">
        <v>144</v>
      </c>
      <c r="R195" s="3" t="s">
        <v>1346</v>
      </c>
      <c r="S195" s="4">
        <v>49</v>
      </c>
      <c r="T195" s="4">
        <v>49</v>
      </c>
      <c r="U195" s="5" t="s">
        <v>1999</v>
      </c>
      <c r="V195" s="5" t="s">
        <v>1999</v>
      </c>
      <c r="W195" s="5" t="s">
        <v>1576</v>
      </c>
      <c r="X195" s="5" t="s">
        <v>1576</v>
      </c>
      <c r="Y195" s="4">
        <v>66</v>
      </c>
      <c r="Z195" s="4">
        <v>44</v>
      </c>
      <c r="AA195" s="4">
        <v>221</v>
      </c>
      <c r="AB195" s="4">
        <v>1</v>
      </c>
      <c r="AC195" s="4">
        <v>2</v>
      </c>
      <c r="AD195" s="4">
        <v>2</v>
      </c>
      <c r="AE195" s="4">
        <v>9</v>
      </c>
      <c r="AF195" s="4">
        <v>1</v>
      </c>
      <c r="AG195" s="4">
        <v>6</v>
      </c>
      <c r="AH195" s="4">
        <v>1</v>
      </c>
      <c r="AI195" s="4">
        <v>3</v>
      </c>
      <c r="AJ195" s="4">
        <v>0</v>
      </c>
      <c r="AK195" s="4">
        <v>1</v>
      </c>
      <c r="AL195" s="4">
        <v>0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115</v>
      </c>
      <c r="AR195" s="6" t="str">
        <f>HYPERLINK("http://catalog.hathitrust.org/Record/002753628","HathiTrust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HYPERLINK("https://creighton-primo.hosted.exlibrisgroup.com/primo-explore/search?tab=default_tab&amp;search_scope=EVERYTHING&amp;vid=01CRU&amp;lang=en_US&amp;offset=0&amp;query=any,contains,991000501689702656","Catalog Record")</f>
        <v>Catalog Record</v>
      </c>
      <c r="AT195" s="6" t="str">
        <f>HYPERLINK("http://www.worldcat.org/oclc/28673250","WorldCat Record")</f>
        <v>WorldCat Record</v>
      </c>
    </row>
    <row r="196" spans="1:46" ht="40.5" customHeight="1" x14ac:dyDescent="0.25">
      <c r="A196" s="8" t="s">
        <v>58</v>
      </c>
      <c r="B196" s="2" t="s">
        <v>2000</v>
      </c>
      <c r="C196" s="2" t="s">
        <v>2001</v>
      </c>
      <c r="D196" s="2" t="s">
        <v>2002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2003</v>
      </c>
      <c r="L196" s="2" t="s">
        <v>2004</v>
      </c>
      <c r="M196" s="3" t="s">
        <v>159</v>
      </c>
      <c r="O196" s="3" t="s">
        <v>64</v>
      </c>
      <c r="P196" s="3" t="s">
        <v>144</v>
      </c>
      <c r="R196" s="3" t="s">
        <v>1346</v>
      </c>
      <c r="S196" s="4">
        <v>5</v>
      </c>
      <c r="T196" s="4">
        <v>5</v>
      </c>
      <c r="U196" s="5" t="s">
        <v>1647</v>
      </c>
      <c r="V196" s="5" t="s">
        <v>1647</v>
      </c>
      <c r="W196" s="5" t="s">
        <v>1977</v>
      </c>
      <c r="X196" s="5" t="s">
        <v>1977</v>
      </c>
      <c r="Y196" s="4">
        <v>57</v>
      </c>
      <c r="Z196" s="4">
        <v>48</v>
      </c>
      <c r="AA196" s="4">
        <v>53</v>
      </c>
      <c r="AB196" s="4">
        <v>1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3" t="s">
        <v>58</v>
      </c>
      <c r="AQ196" s="3" t="s">
        <v>58</v>
      </c>
      <c r="AR196" s="6" t="str">
        <f>HYPERLINK("http://catalog.hathitrust.org/Record/001579365","HathiTrust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HYPERLINK("https://creighton-primo.hosted.exlibrisgroup.com/primo-explore/search?tab=default_tab&amp;search_scope=EVERYTHING&amp;vid=01CRU&amp;lang=en_US&amp;offset=0&amp;query=any,contains,991000950869702656","Catalog Record")</f>
        <v>Catalog Record</v>
      </c>
      <c r="AT196" s="6" t="str">
        <f>HYPERLINK("http://www.worldcat.org/oclc/1457951","WorldCat Record")</f>
        <v>WorldCat Record</v>
      </c>
    </row>
    <row r="197" spans="1:46" ht="40.5" customHeight="1" x14ac:dyDescent="0.25">
      <c r="A197" s="8" t="s">
        <v>58</v>
      </c>
      <c r="B197" s="2" t="s">
        <v>2005</v>
      </c>
      <c r="C197" s="2" t="s">
        <v>2006</v>
      </c>
      <c r="D197" s="2" t="s">
        <v>2007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2008</v>
      </c>
      <c r="M197" s="3" t="s">
        <v>306</v>
      </c>
      <c r="O197" s="3" t="s">
        <v>64</v>
      </c>
      <c r="P197" s="3" t="s">
        <v>65</v>
      </c>
      <c r="R197" s="3" t="s">
        <v>1346</v>
      </c>
      <c r="S197" s="4">
        <v>16</v>
      </c>
      <c r="T197" s="4">
        <v>16</v>
      </c>
      <c r="U197" s="5" t="s">
        <v>2009</v>
      </c>
      <c r="V197" s="5" t="s">
        <v>2009</v>
      </c>
      <c r="W197" s="5" t="s">
        <v>2010</v>
      </c>
      <c r="X197" s="5" t="s">
        <v>2010</v>
      </c>
      <c r="Y197" s="4">
        <v>68</v>
      </c>
      <c r="Z197" s="4">
        <v>53</v>
      </c>
      <c r="AA197" s="4">
        <v>61</v>
      </c>
      <c r="AB197" s="4">
        <v>1</v>
      </c>
      <c r="AC197" s="4">
        <v>1</v>
      </c>
      <c r="AD197" s="4">
        <v>5</v>
      </c>
      <c r="AE197" s="4">
        <v>5</v>
      </c>
      <c r="AF197" s="4">
        <v>2</v>
      </c>
      <c r="AG197" s="4">
        <v>2</v>
      </c>
      <c r="AH197" s="4">
        <v>3</v>
      </c>
      <c r="AI197" s="4">
        <v>3</v>
      </c>
      <c r="AJ197" s="4">
        <v>2</v>
      </c>
      <c r="AK197" s="4">
        <v>2</v>
      </c>
      <c r="AL197" s="4">
        <v>0</v>
      </c>
      <c r="AM197" s="4">
        <v>0</v>
      </c>
      <c r="AN197" s="4">
        <v>0</v>
      </c>
      <c r="AO197" s="4">
        <v>0</v>
      </c>
      <c r="AP197" s="3" t="s">
        <v>58</v>
      </c>
      <c r="AQ197" s="3" t="s">
        <v>115</v>
      </c>
      <c r="AR197" s="6" t="str">
        <f>HYPERLINK("http://catalog.hathitrust.org/Record/003120530","HathiTrust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HYPERLINK("https://creighton-primo.hosted.exlibrisgroup.com/primo-explore/search?tab=default_tab&amp;search_scope=EVERYTHING&amp;vid=01CRU&amp;lang=en_US&amp;offset=0&amp;query=any,contains,991000503819702656","Catalog Record")</f>
        <v>Catalog Record</v>
      </c>
      <c r="AT197" s="6" t="str">
        <f>HYPERLINK("http://www.worldcat.org/oclc/34576828","WorldCat Record")</f>
        <v>WorldCat Record</v>
      </c>
    </row>
    <row r="198" spans="1:46" ht="40.5" customHeight="1" x14ac:dyDescent="0.25">
      <c r="A198" s="8" t="s">
        <v>58</v>
      </c>
      <c r="B198" s="2" t="s">
        <v>2011</v>
      </c>
      <c r="C198" s="2" t="s">
        <v>2012</v>
      </c>
      <c r="D198" s="2" t="s">
        <v>2013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L198" s="2" t="s">
        <v>2014</v>
      </c>
      <c r="M198" s="3" t="s">
        <v>892</v>
      </c>
      <c r="N198" s="2" t="s">
        <v>174</v>
      </c>
      <c r="O198" s="3" t="s">
        <v>64</v>
      </c>
      <c r="P198" s="3" t="s">
        <v>1646</v>
      </c>
      <c r="R198" s="3" t="s">
        <v>1346</v>
      </c>
      <c r="S198" s="4">
        <v>1</v>
      </c>
      <c r="T198" s="4">
        <v>1</v>
      </c>
      <c r="U198" s="5" t="s">
        <v>1647</v>
      </c>
      <c r="V198" s="5" t="s">
        <v>1647</v>
      </c>
      <c r="W198" s="5" t="s">
        <v>2015</v>
      </c>
      <c r="X198" s="5" t="s">
        <v>2015</v>
      </c>
      <c r="Y198" s="4">
        <v>24</v>
      </c>
      <c r="Z198" s="4">
        <v>21</v>
      </c>
      <c r="AA198" s="4">
        <v>21</v>
      </c>
      <c r="AB198" s="4">
        <v>1</v>
      </c>
      <c r="AC198" s="4">
        <v>1</v>
      </c>
      <c r="AD198" s="4">
        <v>1</v>
      </c>
      <c r="AE198" s="4">
        <v>1</v>
      </c>
      <c r="AF198" s="4">
        <v>1</v>
      </c>
      <c r="AG198" s="4">
        <v>1</v>
      </c>
      <c r="AH198" s="4">
        <v>1</v>
      </c>
      <c r="AI198" s="4">
        <v>1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3" t="s">
        <v>58</v>
      </c>
      <c r="AQ198" s="3" t="s">
        <v>58</v>
      </c>
      <c r="AS198" s="6" t="str">
        <f>HYPERLINK("https://creighton-primo.hosted.exlibrisgroup.com/primo-explore/search?tab=default_tab&amp;search_scope=EVERYTHING&amp;vid=01CRU&amp;lang=en_US&amp;offset=0&amp;query=any,contains,991000317879702656","Catalog Record")</f>
        <v>Catalog Record</v>
      </c>
      <c r="AT198" s="6" t="str">
        <f>HYPERLINK("http://www.worldcat.org/oclc/40535052","WorldCat Record")</f>
        <v>WorldCat Record</v>
      </c>
    </row>
    <row r="199" spans="1:46" ht="40.5" customHeight="1" x14ac:dyDescent="0.25">
      <c r="A199" s="8" t="s">
        <v>58</v>
      </c>
      <c r="B199" s="2" t="s">
        <v>2016</v>
      </c>
      <c r="C199" s="2" t="s">
        <v>2017</v>
      </c>
      <c r="D199" s="2" t="s">
        <v>2018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2019</v>
      </c>
      <c r="L199" s="2" t="s">
        <v>2020</v>
      </c>
      <c r="M199" s="3" t="s">
        <v>698</v>
      </c>
      <c r="O199" s="3" t="s">
        <v>64</v>
      </c>
      <c r="P199" s="3" t="s">
        <v>265</v>
      </c>
      <c r="R199" s="3" t="s">
        <v>1346</v>
      </c>
      <c r="S199" s="4">
        <v>3</v>
      </c>
      <c r="T199" s="4">
        <v>3</v>
      </c>
      <c r="U199" s="5" t="s">
        <v>2021</v>
      </c>
      <c r="V199" s="5" t="s">
        <v>2021</v>
      </c>
      <c r="W199" s="5" t="s">
        <v>1536</v>
      </c>
      <c r="X199" s="5" t="s">
        <v>1536</v>
      </c>
      <c r="Y199" s="4">
        <v>32</v>
      </c>
      <c r="Z199" s="4">
        <v>25</v>
      </c>
      <c r="AA199" s="4">
        <v>25</v>
      </c>
      <c r="AB199" s="4">
        <v>1</v>
      </c>
      <c r="AC199" s="4">
        <v>1</v>
      </c>
      <c r="AD199" s="4">
        <v>2</v>
      </c>
      <c r="AE199" s="4">
        <v>2</v>
      </c>
      <c r="AF199" s="4">
        <v>1</v>
      </c>
      <c r="AG199" s="4">
        <v>1</v>
      </c>
      <c r="AH199" s="4">
        <v>1</v>
      </c>
      <c r="AI199" s="4">
        <v>1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HYPERLINK("https://creighton-primo.hosted.exlibrisgroup.com/primo-explore/search?tab=default_tab&amp;search_scope=EVERYTHING&amp;vid=01CRU&amp;lang=en_US&amp;offset=0&amp;query=any,contains,991000490729702656","Catalog Record")</f>
        <v>Catalog Record</v>
      </c>
      <c r="AT199" s="6" t="str">
        <f>HYPERLINK("http://www.worldcat.org/oclc/690803","WorldCat Record")</f>
        <v>WorldCat Record</v>
      </c>
    </row>
    <row r="200" spans="1:46" ht="40.5" customHeight="1" x14ac:dyDescent="0.25">
      <c r="A200" s="8" t="s">
        <v>58</v>
      </c>
      <c r="B200" s="2" t="s">
        <v>2022</v>
      </c>
      <c r="C200" s="2" t="s">
        <v>2023</v>
      </c>
      <c r="D200" s="2" t="s">
        <v>2024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2025</v>
      </c>
      <c r="L200" s="2" t="s">
        <v>2026</v>
      </c>
      <c r="M200" s="3" t="s">
        <v>2027</v>
      </c>
      <c r="O200" s="3" t="s">
        <v>64</v>
      </c>
      <c r="P200" s="3" t="s">
        <v>265</v>
      </c>
      <c r="R200" s="3" t="s">
        <v>1346</v>
      </c>
      <c r="S200" s="4">
        <v>3</v>
      </c>
      <c r="T200" s="4">
        <v>3</v>
      </c>
      <c r="U200" s="5" t="s">
        <v>2021</v>
      </c>
      <c r="V200" s="5" t="s">
        <v>2021</v>
      </c>
      <c r="W200" s="5" t="s">
        <v>1977</v>
      </c>
      <c r="X200" s="5" t="s">
        <v>1977</v>
      </c>
      <c r="Y200" s="4">
        <v>35</v>
      </c>
      <c r="Z200" s="4">
        <v>27</v>
      </c>
      <c r="AA200" s="4">
        <v>32</v>
      </c>
      <c r="AB200" s="4">
        <v>1</v>
      </c>
      <c r="AC200" s="4">
        <v>1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HYPERLINK("https://creighton-primo.hosted.exlibrisgroup.com/primo-explore/search?tab=default_tab&amp;search_scope=EVERYTHING&amp;vid=01CRU&amp;lang=en_US&amp;offset=0&amp;query=any,contains,991000490759702656","Catalog Record")</f>
        <v>Catalog Record</v>
      </c>
      <c r="AT200" s="6" t="str">
        <f>HYPERLINK("http://www.worldcat.org/oclc/2338793","WorldCat Record")</f>
        <v>WorldCat Record</v>
      </c>
    </row>
    <row r="201" spans="1:46" ht="40.5" customHeight="1" x14ac:dyDescent="0.25">
      <c r="A201" s="8" t="s">
        <v>58</v>
      </c>
      <c r="B201" s="2" t="s">
        <v>2028</v>
      </c>
      <c r="C201" s="2" t="s">
        <v>2029</v>
      </c>
      <c r="D201" s="2" t="s">
        <v>2030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2031</v>
      </c>
      <c r="L201" s="2" t="s">
        <v>2032</v>
      </c>
      <c r="M201" s="3" t="s">
        <v>1177</v>
      </c>
      <c r="N201" s="2" t="s">
        <v>143</v>
      </c>
      <c r="O201" s="3" t="s">
        <v>64</v>
      </c>
      <c r="P201" s="3" t="s">
        <v>1355</v>
      </c>
      <c r="R201" s="3" t="s">
        <v>1346</v>
      </c>
      <c r="S201" s="4">
        <v>2</v>
      </c>
      <c r="T201" s="4">
        <v>2</v>
      </c>
      <c r="U201" s="5" t="s">
        <v>2033</v>
      </c>
      <c r="V201" s="5" t="s">
        <v>2033</v>
      </c>
      <c r="W201" s="5" t="s">
        <v>2034</v>
      </c>
      <c r="X201" s="5" t="s">
        <v>2034</v>
      </c>
      <c r="Y201" s="4">
        <v>103</v>
      </c>
      <c r="Z201" s="4">
        <v>79</v>
      </c>
      <c r="AA201" s="4">
        <v>166</v>
      </c>
      <c r="AB201" s="4">
        <v>1</v>
      </c>
      <c r="AC201" s="4">
        <v>1</v>
      </c>
      <c r="AD201" s="4">
        <v>2</v>
      </c>
      <c r="AE201" s="4">
        <v>6</v>
      </c>
      <c r="AF201" s="4">
        <v>0</v>
      </c>
      <c r="AG201" s="4">
        <v>3</v>
      </c>
      <c r="AH201" s="4">
        <v>1</v>
      </c>
      <c r="AI201" s="4">
        <v>1</v>
      </c>
      <c r="AJ201" s="4">
        <v>1</v>
      </c>
      <c r="AK201" s="4">
        <v>4</v>
      </c>
      <c r="AL201" s="4">
        <v>0</v>
      </c>
      <c r="AM201" s="4">
        <v>0</v>
      </c>
      <c r="AN201" s="4">
        <v>0</v>
      </c>
      <c r="AO201" s="4">
        <v>0</v>
      </c>
      <c r="AP201" s="3" t="s">
        <v>58</v>
      </c>
      <c r="AQ201" s="3" t="s">
        <v>115</v>
      </c>
      <c r="AR201" s="6" t="str">
        <f>HYPERLINK("http://catalog.hathitrust.org/Record/000832515","HathiTrust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HYPERLINK("https://creighton-primo.hosted.exlibrisgroup.com/primo-explore/search?tab=default_tab&amp;search_scope=EVERYTHING&amp;vid=01CRU&amp;lang=en_US&amp;offset=0&amp;query=any,contains,991001534999702656","Catalog Record")</f>
        <v>Catalog Record</v>
      </c>
      <c r="AT201" s="6" t="str">
        <f>HYPERLINK("http://www.worldcat.org/oclc/15084540","WorldCat Record")</f>
        <v>WorldCat Record</v>
      </c>
    </row>
    <row r="202" spans="1:46" ht="40.5" customHeight="1" x14ac:dyDescent="0.25">
      <c r="A202" s="8" t="s">
        <v>58</v>
      </c>
      <c r="B202" s="2" t="s">
        <v>2035</v>
      </c>
      <c r="C202" s="2" t="s">
        <v>2036</v>
      </c>
      <c r="D202" s="2" t="s">
        <v>2037</v>
      </c>
      <c r="E202" s="3" t="s">
        <v>492</v>
      </c>
      <c r="F202" s="3" t="s">
        <v>115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2038</v>
      </c>
      <c r="L202" s="2" t="s">
        <v>2039</v>
      </c>
      <c r="M202" s="3" t="s">
        <v>1122</v>
      </c>
      <c r="O202" s="3" t="s">
        <v>64</v>
      </c>
      <c r="P202" s="3" t="s">
        <v>613</v>
      </c>
      <c r="R202" s="3" t="s">
        <v>1346</v>
      </c>
      <c r="S202" s="4">
        <v>8</v>
      </c>
      <c r="T202" s="4">
        <v>14</v>
      </c>
      <c r="U202" s="5" t="s">
        <v>2040</v>
      </c>
      <c r="V202" s="5" t="s">
        <v>2041</v>
      </c>
      <c r="W202" s="5" t="s">
        <v>2042</v>
      </c>
      <c r="X202" s="5" t="s">
        <v>2042</v>
      </c>
      <c r="Y202" s="4">
        <v>136</v>
      </c>
      <c r="Z202" s="4">
        <v>110</v>
      </c>
      <c r="AA202" s="4">
        <v>110</v>
      </c>
      <c r="AB202" s="4">
        <v>2</v>
      </c>
      <c r="AC202" s="4">
        <v>2</v>
      </c>
      <c r="AD202" s="4">
        <v>4</v>
      </c>
      <c r="AE202" s="4">
        <v>4</v>
      </c>
      <c r="AF202" s="4">
        <v>3</v>
      </c>
      <c r="AG202" s="4">
        <v>3</v>
      </c>
      <c r="AH202" s="4">
        <v>1</v>
      </c>
      <c r="AI202" s="4">
        <v>1</v>
      </c>
      <c r="AJ202" s="4">
        <v>0</v>
      </c>
      <c r="AK202" s="4">
        <v>0</v>
      </c>
      <c r="AL202" s="4">
        <v>1</v>
      </c>
      <c r="AM202" s="4">
        <v>1</v>
      </c>
      <c r="AN202" s="4">
        <v>0</v>
      </c>
      <c r="AO202" s="4">
        <v>0</v>
      </c>
      <c r="AP202" s="3" t="s">
        <v>58</v>
      </c>
      <c r="AQ202" s="3" t="s">
        <v>58</v>
      </c>
      <c r="AS202" s="6" t="str">
        <f>HYPERLINK("https://creighton-primo.hosted.exlibrisgroup.com/primo-explore/search?tab=default_tab&amp;search_scope=EVERYTHING&amp;vid=01CRU&amp;lang=en_US&amp;offset=0&amp;query=any,contains,991000824479702656","Catalog Record")</f>
        <v>Catalog Record</v>
      </c>
      <c r="AT202" s="6" t="str">
        <f>HYPERLINK("http://www.worldcat.org/oclc/20800068","WorldCat Record")</f>
        <v>WorldCat Record</v>
      </c>
    </row>
    <row r="203" spans="1:46" ht="40.5" customHeight="1" x14ac:dyDescent="0.25">
      <c r="A203" s="8" t="s">
        <v>58</v>
      </c>
      <c r="B203" s="2" t="s">
        <v>2035</v>
      </c>
      <c r="C203" s="2" t="s">
        <v>2036</v>
      </c>
      <c r="D203" s="2" t="s">
        <v>2037</v>
      </c>
      <c r="E203" s="3" t="s">
        <v>480</v>
      </c>
      <c r="F203" s="3" t="s">
        <v>115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2038</v>
      </c>
      <c r="L203" s="2" t="s">
        <v>2039</v>
      </c>
      <c r="M203" s="3" t="s">
        <v>1122</v>
      </c>
      <c r="O203" s="3" t="s">
        <v>64</v>
      </c>
      <c r="P203" s="3" t="s">
        <v>613</v>
      </c>
      <c r="R203" s="3" t="s">
        <v>1346</v>
      </c>
      <c r="S203" s="4">
        <v>6</v>
      </c>
      <c r="T203" s="4">
        <v>14</v>
      </c>
      <c r="U203" s="5" t="s">
        <v>2041</v>
      </c>
      <c r="V203" s="5" t="s">
        <v>2041</v>
      </c>
      <c r="W203" s="5" t="s">
        <v>2042</v>
      </c>
      <c r="X203" s="5" t="s">
        <v>2042</v>
      </c>
      <c r="Y203" s="4">
        <v>136</v>
      </c>
      <c r="Z203" s="4">
        <v>110</v>
      </c>
      <c r="AA203" s="4">
        <v>110</v>
      </c>
      <c r="AB203" s="4">
        <v>2</v>
      </c>
      <c r="AC203" s="4">
        <v>2</v>
      </c>
      <c r="AD203" s="4">
        <v>4</v>
      </c>
      <c r="AE203" s="4">
        <v>4</v>
      </c>
      <c r="AF203" s="4">
        <v>3</v>
      </c>
      <c r="AG203" s="4">
        <v>3</v>
      </c>
      <c r="AH203" s="4">
        <v>1</v>
      </c>
      <c r="AI203" s="4">
        <v>1</v>
      </c>
      <c r="AJ203" s="4">
        <v>0</v>
      </c>
      <c r="AK203" s="4">
        <v>0</v>
      </c>
      <c r="AL203" s="4">
        <v>1</v>
      </c>
      <c r="AM203" s="4">
        <v>1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HYPERLINK("https://creighton-primo.hosted.exlibrisgroup.com/primo-explore/search?tab=default_tab&amp;search_scope=EVERYTHING&amp;vid=01CRU&amp;lang=en_US&amp;offset=0&amp;query=any,contains,991000824479702656","Catalog Record")</f>
        <v>Catalog Record</v>
      </c>
      <c r="AT203" s="6" t="str">
        <f>HYPERLINK("http://www.worldcat.org/oclc/20800068","WorldCat Record")</f>
        <v>WorldCat Record</v>
      </c>
    </row>
    <row r="204" spans="1:46" ht="40.5" customHeight="1" x14ac:dyDescent="0.25">
      <c r="A204" s="8" t="s">
        <v>58</v>
      </c>
      <c r="B204" s="2" t="s">
        <v>2043</v>
      </c>
      <c r="C204" s="2" t="s">
        <v>2044</v>
      </c>
      <c r="D204" s="2" t="s">
        <v>2045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2046</v>
      </c>
      <c r="L204" s="2" t="s">
        <v>2047</v>
      </c>
      <c r="M204" s="3" t="s">
        <v>1122</v>
      </c>
      <c r="O204" s="3" t="s">
        <v>64</v>
      </c>
      <c r="P204" s="3" t="s">
        <v>1355</v>
      </c>
      <c r="R204" s="3" t="s">
        <v>1346</v>
      </c>
      <c r="S204" s="4">
        <v>1</v>
      </c>
      <c r="T204" s="4">
        <v>1</v>
      </c>
      <c r="U204" s="5" t="s">
        <v>2048</v>
      </c>
      <c r="V204" s="5" t="s">
        <v>2048</v>
      </c>
      <c r="W204" s="5" t="s">
        <v>2048</v>
      </c>
      <c r="X204" s="5" t="s">
        <v>2048</v>
      </c>
      <c r="Y204" s="4">
        <v>77</v>
      </c>
      <c r="Z204" s="4">
        <v>47</v>
      </c>
      <c r="AA204" s="4">
        <v>49</v>
      </c>
      <c r="AB204" s="4">
        <v>1</v>
      </c>
      <c r="AC204" s="4">
        <v>1</v>
      </c>
      <c r="AD204" s="4">
        <v>1</v>
      </c>
      <c r="AE204" s="4">
        <v>1</v>
      </c>
      <c r="AF204" s="4">
        <v>0</v>
      </c>
      <c r="AG204" s="4">
        <v>0</v>
      </c>
      <c r="AH204" s="4">
        <v>1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3" t="s">
        <v>58</v>
      </c>
      <c r="AQ204" s="3" t="s">
        <v>115</v>
      </c>
      <c r="AR204" s="6" t="str">
        <f>HYPERLINK("http://catalog.hathitrust.org/Record/002510520","HathiTrust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HYPERLINK("https://creighton-primo.hosted.exlibrisgroup.com/primo-explore/search?tab=default_tab&amp;search_scope=EVERYTHING&amp;vid=01CRU&amp;lang=en_US&amp;offset=0&amp;query=any,contains,991001300729702656","Catalog Record")</f>
        <v>Catalog Record</v>
      </c>
      <c r="AT204" s="6" t="str">
        <f>HYPERLINK("http://www.worldcat.org/oclc/20799575","WorldCat Record")</f>
        <v>WorldCat Record</v>
      </c>
    </row>
    <row r="205" spans="1:46" ht="40.5" customHeight="1" x14ac:dyDescent="0.25">
      <c r="A205" s="8" t="s">
        <v>58</v>
      </c>
      <c r="B205" s="2" t="s">
        <v>2049</v>
      </c>
      <c r="C205" s="2" t="s">
        <v>2050</v>
      </c>
      <c r="D205" s="2" t="s">
        <v>2051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2052</v>
      </c>
      <c r="L205" s="2" t="s">
        <v>2053</v>
      </c>
      <c r="M205" s="3" t="s">
        <v>2054</v>
      </c>
      <c r="O205" s="3" t="s">
        <v>64</v>
      </c>
      <c r="P205" s="3" t="s">
        <v>1149</v>
      </c>
      <c r="R205" s="3" t="s">
        <v>1346</v>
      </c>
      <c r="S205" s="4">
        <v>1</v>
      </c>
      <c r="T205" s="4">
        <v>1</v>
      </c>
      <c r="U205" s="5" t="s">
        <v>2055</v>
      </c>
      <c r="V205" s="5" t="s">
        <v>2055</v>
      </c>
      <c r="W205" s="5" t="s">
        <v>2055</v>
      </c>
      <c r="X205" s="5" t="s">
        <v>2055</v>
      </c>
      <c r="Y205" s="4">
        <v>57</v>
      </c>
      <c r="Z205" s="4">
        <v>48</v>
      </c>
      <c r="AA205" s="4">
        <v>55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  <c r="AG205" s="4">
        <v>1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3" t="s">
        <v>115</v>
      </c>
      <c r="AQ205" s="3" t="s">
        <v>58</v>
      </c>
      <c r="AR205" s="6" t="str">
        <f>HYPERLINK("http://catalog.hathitrust.org/Record/001993004","HathiTrust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HYPERLINK("https://creighton-primo.hosted.exlibrisgroup.com/primo-explore/search?tab=default_tab&amp;search_scope=EVERYTHING&amp;vid=01CRU&amp;lang=en_US&amp;offset=0&amp;query=any,contains,991001153609702656","Catalog Record")</f>
        <v>Catalog Record</v>
      </c>
      <c r="AT205" s="6" t="str">
        <f>HYPERLINK("http://www.worldcat.org/oclc/3864589","WorldCat Record")</f>
        <v>WorldCat Record</v>
      </c>
    </row>
    <row r="206" spans="1:46" ht="40.5" customHeight="1" x14ac:dyDescent="0.25">
      <c r="A206" s="8" t="s">
        <v>58</v>
      </c>
      <c r="B206" s="2" t="s">
        <v>2056</v>
      </c>
      <c r="C206" s="2" t="s">
        <v>2057</v>
      </c>
      <c r="D206" s="2" t="s">
        <v>2058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2059</v>
      </c>
      <c r="M206" s="3" t="s">
        <v>628</v>
      </c>
      <c r="O206" s="3" t="s">
        <v>64</v>
      </c>
      <c r="P206" s="3" t="s">
        <v>265</v>
      </c>
      <c r="Q206" s="2" t="s">
        <v>2060</v>
      </c>
      <c r="R206" s="3" t="s">
        <v>1346</v>
      </c>
      <c r="S206" s="4">
        <v>4</v>
      </c>
      <c r="T206" s="4">
        <v>4</v>
      </c>
      <c r="U206" s="5" t="s">
        <v>2061</v>
      </c>
      <c r="V206" s="5" t="s">
        <v>2061</v>
      </c>
      <c r="W206" s="5" t="s">
        <v>2062</v>
      </c>
      <c r="X206" s="5" t="s">
        <v>2062</v>
      </c>
      <c r="Y206" s="4">
        <v>187</v>
      </c>
      <c r="Z206" s="4">
        <v>178</v>
      </c>
      <c r="AA206" s="4">
        <v>222</v>
      </c>
      <c r="AB206" s="4">
        <v>2</v>
      </c>
      <c r="AC206" s="4">
        <v>3</v>
      </c>
      <c r="AD206" s="4">
        <v>9</v>
      </c>
      <c r="AE206" s="4">
        <v>16</v>
      </c>
      <c r="AF206" s="4">
        <v>2</v>
      </c>
      <c r="AG206" s="4">
        <v>3</v>
      </c>
      <c r="AH206" s="4">
        <v>1</v>
      </c>
      <c r="AI206" s="4">
        <v>3</v>
      </c>
      <c r="AJ206" s="4">
        <v>3</v>
      </c>
      <c r="AK206" s="4">
        <v>4</v>
      </c>
      <c r="AL206" s="4">
        <v>0</v>
      </c>
      <c r="AM206" s="4">
        <v>0</v>
      </c>
      <c r="AN206" s="4">
        <v>4</v>
      </c>
      <c r="AO206" s="4">
        <v>8</v>
      </c>
      <c r="AP206" s="3" t="s">
        <v>115</v>
      </c>
      <c r="AQ206" s="3" t="s">
        <v>58</v>
      </c>
      <c r="AR206" s="6" t="str">
        <f>HYPERLINK("http://catalog.hathitrust.org/Record/006182635","HathiTrust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HYPERLINK("https://creighton-primo.hosted.exlibrisgroup.com/primo-explore/search?tab=default_tab&amp;search_scope=EVERYTHING&amp;vid=01CRU&amp;lang=en_US&amp;offset=0&amp;query=any,contains,991000812219702656","Catalog Record")</f>
        <v>Catalog Record</v>
      </c>
      <c r="AT206" s="6" t="str">
        <f>HYPERLINK("http://www.worldcat.org/oclc/1010431","WorldCat Record")</f>
        <v>WorldCat Record</v>
      </c>
    </row>
    <row r="207" spans="1:46" ht="40.5" customHeight="1" x14ac:dyDescent="0.25">
      <c r="A207" s="8" t="s">
        <v>58</v>
      </c>
      <c r="B207" s="2" t="s">
        <v>2063</v>
      </c>
      <c r="C207" s="2" t="s">
        <v>2064</v>
      </c>
      <c r="D207" s="2" t="s">
        <v>2065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2066</v>
      </c>
      <c r="L207" s="2" t="s">
        <v>2067</v>
      </c>
      <c r="M207" s="3" t="s">
        <v>220</v>
      </c>
      <c r="O207" s="3" t="s">
        <v>64</v>
      </c>
      <c r="P207" s="3" t="s">
        <v>144</v>
      </c>
      <c r="R207" s="3" t="s">
        <v>1346</v>
      </c>
      <c r="S207" s="4">
        <v>8</v>
      </c>
      <c r="T207" s="4">
        <v>8</v>
      </c>
      <c r="U207" s="5" t="s">
        <v>2068</v>
      </c>
      <c r="V207" s="5" t="s">
        <v>2068</v>
      </c>
      <c r="W207" s="5" t="s">
        <v>2069</v>
      </c>
      <c r="X207" s="5" t="s">
        <v>2069</v>
      </c>
      <c r="Y207" s="4">
        <v>115</v>
      </c>
      <c r="Z207" s="4">
        <v>90</v>
      </c>
      <c r="AA207" s="4">
        <v>93</v>
      </c>
      <c r="AB207" s="4">
        <v>2</v>
      </c>
      <c r="AC207" s="4">
        <v>2</v>
      </c>
      <c r="AD207" s="4">
        <v>6</v>
      </c>
      <c r="AE207" s="4">
        <v>6</v>
      </c>
      <c r="AF207" s="4">
        <v>2</v>
      </c>
      <c r="AG207" s="4">
        <v>2</v>
      </c>
      <c r="AH207" s="4">
        <v>1</v>
      </c>
      <c r="AI207" s="4">
        <v>1</v>
      </c>
      <c r="AJ207" s="4">
        <v>0</v>
      </c>
      <c r="AK207" s="4">
        <v>0</v>
      </c>
      <c r="AL207" s="4">
        <v>0</v>
      </c>
      <c r="AM207" s="4">
        <v>0</v>
      </c>
      <c r="AN207" s="4">
        <v>3</v>
      </c>
      <c r="AO207" s="4">
        <v>3</v>
      </c>
      <c r="AP207" s="3" t="s">
        <v>58</v>
      </c>
      <c r="AQ207" s="3" t="s">
        <v>115</v>
      </c>
      <c r="AR207" s="6" t="str">
        <f>HYPERLINK("http://catalog.hathitrust.org/Record/001573499","HathiTrust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HYPERLINK("https://creighton-primo.hosted.exlibrisgroup.com/primo-explore/search?tab=default_tab&amp;search_scope=EVERYTHING&amp;vid=01CRU&amp;lang=en_US&amp;offset=0&amp;query=any,contains,991000951609702656","Catalog Record")</f>
        <v>Catalog Record</v>
      </c>
      <c r="AT207" s="6" t="str">
        <f>HYPERLINK("http://www.worldcat.org/oclc/203089","WorldCat Record")</f>
        <v>WorldCat Record</v>
      </c>
    </row>
    <row r="208" spans="1:46" ht="40.5" customHeight="1" x14ac:dyDescent="0.25">
      <c r="A208" s="8" t="s">
        <v>58</v>
      </c>
      <c r="B208" s="2" t="s">
        <v>2070</v>
      </c>
      <c r="C208" s="2" t="s">
        <v>2071</v>
      </c>
      <c r="D208" s="2" t="s">
        <v>2072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L208" s="2" t="s">
        <v>2073</v>
      </c>
      <c r="M208" s="3" t="s">
        <v>189</v>
      </c>
      <c r="O208" s="3" t="s">
        <v>64</v>
      </c>
      <c r="P208" s="3" t="s">
        <v>1646</v>
      </c>
      <c r="R208" s="3" t="s">
        <v>1346</v>
      </c>
      <c r="S208" s="4">
        <v>17</v>
      </c>
      <c r="T208" s="4">
        <v>17</v>
      </c>
      <c r="U208" s="5" t="s">
        <v>2074</v>
      </c>
      <c r="V208" s="5" t="s">
        <v>2074</v>
      </c>
      <c r="W208" s="5" t="s">
        <v>2075</v>
      </c>
      <c r="X208" s="5" t="s">
        <v>2075</v>
      </c>
      <c r="Y208" s="4">
        <v>9</v>
      </c>
      <c r="Z208" s="4">
        <v>9</v>
      </c>
      <c r="AA208" s="4">
        <v>9</v>
      </c>
      <c r="AB208" s="4">
        <v>1</v>
      </c>
      <c r="AC208" s="4">
        <v>1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HYPERLINK("https://creighton-primo.hosted.exlibrisgroup.com/primo-explore/search?tab=default_tab&amp;search_scope=EVERYTHING&amp;vid=01CRU&amp;lang=en_US&amp;offset=0&amp;query=any,contains,991001298659702656","Catalog Record")</f>
        <v>Catalog Record</v>
      </c>
      <c r="AT208" s="6" t="str">
        <f>HYPERLINK("http://www.worldcat.org/oclc/26268992","WorldCat Record")</f>
        <v>WorldCat Record</v>
      </c>
    </row>
    <row r="209" spans="1:46" ht="40.5" customHeight="1" x14ac:dyDescent="0.25">
      <c r="A209" s="8" t="s">
        <v>58</v>
      </c>
      <c r="B209" s="2" t="s">
        <v>2076</v>
      </c>
      <c r="C209" s="2" t="s">
        <v>2077</v>
      </c>
      <c r="D209" s="2" t="s">
        <v>2078</v>
      </c>
      <c r="F209" s="3" t="s">
        <v>58</v>
      </c>
      <c r="G209" s="3" t="s">
        <v>59</v>
      </c>
      <c r="H209" s="3" t="s">
        <v>115</v>
      </c>
      <c r="I209" s="3" t="s">
        <v>115</v>
      </c>
      <c r="J209" s="3" t="s">
        <v>60</v>
      </c>
      <c r="K209" s="2" t="s">
        <v>2079</v>
      </c>
      <c r="L209" s="2" t="s">
        <v>2080</v>
      </c>
      <c r="M209" s="3" t="s">
        <v>365</v>
      </c>
      <c r="N209" s="2" t="s">
        <v>143</v>
      </c>
      <c r="O209" s="3" t="s">
        <v>64</v>
      </c>
      <c r="P209" s="3" t="s">
        <v>643</v>
      </c>
      <c r="R209" s="3" t="s">
        <v>1346</v>
      </c>
      <c r="S209" s="4">
        <v>12</v>
      </c>
      <c r="T209" s="4">
        <v>24</v>
      </c>
      <c r="U209" s="5" t="s">
        <v>2081</v>
      </c>
      <c r="V209" s="5" t="s">
        <v>2081</v>
      </c>
      <c r="W209" s="5" t="s">
        <v>2082</v>
      </c>
      <c r="X209" s="5" t="s">
        <v>2083</v>
      </c>
      <c r="Y209" s="4">
        <v>113</v>
      </c>
      <c r="Z209" s="4">
        <v>106</v>
      </c>
      <c r="AA209" s="4">
        <v>435</v>
      </c>
      <c r="AB209" s="4">
        <v>1</v>
      </c>
      <c r="AC209" s="4">
        <v>3</v>
      </c>
      <c r="AD209" s="4">
        <v>8</v>
      </c>
      <c r="AE209" s="4">
        <v>24</v>
      </c>
      <c r="AF209" s="4">
        <v>3</v>
      </c>
      <c r="AG209" s="4">
        <v>9</v>
      </c>
      <c r="AH209" s="4">
        <v>1</v>
      </c>
      <c r="AI209" s="4">
        <v>3</v>
      </c>
      <c r="AJ209" s="4">
        <v>1</v>
      </c>
      <c r="AK209" s="4">
        <v>3</v>
      </c>
      <c r="AL209" s="4">
        <v>0</v>
      </c>
      <c r="AM209" s="4">
        <v>1</v>
      </c>
      <c r="AN209" s="4">
        <v>5</v>
      </c>
      <c r="AO209" s="4">
        <v>11</v>
      </c>
      <c r="AP209" s="3" t="s">
        <v>58</v>
      </c>
      <c r="AQ209" s="3" t="s">
        <v>115</v>
      </c>
      <c r="AR209" s="6" t="str">
        <f>HYPERLINK("http://catalog.hathitrust.org/Record/003963472","HathiTrust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HYPERLINK("https://creighton-primo.hosted.exlibrisgroup.com/primo-explore/search?tab=default_tab&amp;search_scope=EVERYTHING&amp;vid=01CRU&amp;lang=en_US&amp;offset=0&amp;query=any,contains,991001136389702656","Catalog Record")</f>
        <v>Catalog Record</v>
      </c>
      <c r="AT209" s="6" t="str">
        <f>HYPERLINK("http://www.worldcat.org/oclc/36848137","WorldCat Record")</f>
        <v>WorldCat Record</v>
      </c>
    </row>
    <row r="210" spans="1:46" ht="40.5" customHeight="1" x14ac:dyDescent="0.25">
      <c r="A210" s="8" t="s">
        <v>58</v>
      </c>
      <c r="B210" s="2" t="s">
        <v>2076</v>
      </c>
      <c r="C210" s="2" t="s">
        <v>2077</v>
      </c>
      <c r="D210" s="2" t="s">
        <v>2078</v>
      </c>
      <c r="F210" s="3" t="s">
        <v>58</v>
      </c>
      <c r="G210" s="3" t="s">
        <v>1440</v>
      </c>
      <c r="H210" s="3" t="s">
        <v>115</v>
      </c>
      <c r="I210" s="3" t="s">
        <v>115</v>
      </c>
      <c r="J210" s="3" t="s">
        <v>60</v>
      </c>
      <c r="K210" s="2" t="s">
        <v>2079</v>
      </c>
      <c r="L210" s="2" t="s">
        <v>2080</v>
      </c>
      <c r="M210" s="3" t="s">
        <v>365</v>
      </c>
      <c r="N210" s="2" t="s">
        <v>143</v>
      </c>
      <c r="O210" s="3" t="s">
        <v>64</v>
      </c>
      <c r="P210" s="3" t="s">
        <v>643</v>
      </c>
      <c r="R210" s="3" t="s">
        <v>1346</v>
      </c>
      <c r="S210" s="4">
        <v>12</v>
      </c>
      <c r="T210" s="4">
        <v>24</v>
      </c>
      <c r="U210" s="5" t="s">
        <v>2084</v>
      </c>
      <c r="V210" s="5" t="s">
        <v>2081</v>
      </c>
      <c r="W210" s="5" t="s">
        <v>2083</v>
      </c>
      <c r="X210" s="5" t="s">
        <v>2083</v>
      </c>
      <c r="Y210" s="4">
        <v>113</v>
      </c>
      <c r="Z210" s="4">
        <v>106</v>
      </c>
      <c r="AA210" s="4">
        <v>435</v>
      </c>
      <c r="AB210" s="4">
        <v>1</v>
      </c>
      <c r="AC210" s="4">
        <v>3</v>
      </c>
      <c r="AD210" s="4">
        <v>8</v>
      </c>
      <c r="AE210" s="4">
        <v>24</v>
      </c>
      <c r="AF210" s="4">
        <v>3</v>
      </c>
      <c r="AG210" s="4">
        <v>9</v>
      </c>
      <c r="AH210" s="4">
        <v>1</v>
      </c>
      <c r="AI210" s="4">
        <v>3</v>
      </c>
      <c r="AJ210" s="4">
        <v>1</v>
      </c>
      <c r="AK210" s="4">
        <v>3</v>
      </c>
      <c r="AL210" s="4">
        <v>0</v>
      </c>
      <c r="AM210" s="4">
        <v>1</v>
      </c>
      <c r="AN210" s="4">
        <v>5</v>
      </c>
      <c r="AO210" s="4">
        <v>11</v>
      </c>
      <c r="AP210" s="3" t="s">
        <v>58</v>
      </c>
      <c r="AQ210" s="3" t="s">
        <v>115</v>
      </c>
      <c r="AR210" s="6" t="str">
        <f>HYPERLINK("http://catalog.hathitrust.org/Record/003963472","HathiTrust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HYPERLINK("https://creighton-primo.hosted.exlibrisgroup.com/primo-explore/search?tab=default_tab&amp;search_scope=EVERYTHING&amp;vid=01CRU&amp;lang=en_US&amp;offset=0&amp;query=any,contains,991001136389702656","Catalog Record")</f>
        <v>Catalog Record</v>
      </c>
      <c r="AT210" s="6" t="str">
        <f>HYPERLINK("http://www.worldcat.org/oclc/36848137","WorldCat Record")</f>
        <v>WorldCat Record</v>
      </c>
    </row>
    <row r="211" spans="1:46" ht="40.5" customHeight="1" x14ac:dyDescent="0.25">
      <c r="A211" s="8" t="s">
        <v>58</v>
      </c>
      <c r="B211" s="2" t="s">
        <v>2085</v>
      </c>
      <c r="C211" s="2" t="s">
        <v>2086</v>
      </c>
      <c r="D211" s="2" t="s">
        <v>2087</v>
      </c>
      <c r="F211" s="3" t="s">
        <v>58</v>
      </c>
      <c r="G211" s="3" t="s">
        <v>59</v>
      </c>
      <c r="H211" s="3" t="s">
        <v>58</v>
      </c>
      <c r="I211" s="3" t="s">
        <v>115</v>
      </c>
      <c r="J211" s="3" t="s">
        <v>60</v>
      </c>
      <c r="K211" s="2" t="s">
        <v>2088</v>
      </c>
      <c r="L211" s="2" t="s">
        <v>2089</v>
      </c>
      <c r="M211" s="3" t="s">
        <v>1414</v>
      </c>
      <c r="N211" s="2" t="s">
        <v>143</v>
      </c>
      <c r="O211" s="3" t="s">
        <v>64</v>
      </c>
      <c r="P211" s="3" t="s">
        <v>265</v>
      </c>
      <c r="R211" s="3" t="s">
        <v>1346</v>
      </c>
      <c r="S211" s="4">
        <v>9</v>
      </c>
      <c r="T211" s="4">
        <v>9</v>
      </c>
      <c r="U211" s="5" t="s">
        <v>2090</v>
      </c>
      <c r="V211" s="5" t="s">
        <v>2090</v>
      </c>
      <c r="W211" s="5" t="s">
        <v>1348</v>
      </c>
      <c r="X211" s="5" t="s">
        <v>1348</v>
      </c>
      <c r="Y211" s="4">
        <v>228</v>
      </c>
      <c r="Z211" s="4">
        <v>213</v>
      </c>
      <c r="AA211" s="4">
        <v>368</v>
      </c>
      <c r="AB211" s="4">
        <v>1</v>
      </c>
      <c r="AC211" s="4">
        <v>3</v>
      </c>
      <c r="AD211" s="4">
        <v>9</v>
      </c>
      <c r="AE211" s="4">
        <v>19</v>
      </c>
      <c r="AF211" s="4">
        <v>0</v>
      </c>
      <c r="AG211" s="4">
        <v>2</v>
      </c>
      <c r="AH211" s="4">
        <v>1</v>
      </c>
      <c r="AI211" s="4">
        <v>2</v>
      </c>
      <c r="AJ211" s="4">
        <v>0</v>
      </c>
      <c r="AK211" s="4">
        <v>1</v>
      </c>
      <c r="AL211" s="4">
        <v>0</v>
      </c>
      <c r="AM211" s="4">
        <v>0</v>
      </c>
      <c r="AN211" s="4">
        <v>8</v>
      </c>
      <c r="AO211" s="4">
        <v>15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HYPERLINK("https://creighton-primo.hosted.exlibrisgroup.com/primo-explore/search?tab=default_tab&amp;search_scope=EVERYTHING&amp;vid=01CRU&amp;lang=en_US&amp;offset=0&amp;query=any,contains,991000951769702656","Catalog Record")</f>
        <v>Catalog Record</v>
      </c>
      <c r="AT211" s="6" t="str">
        <f>HYPERLINK("http://www.worldcat.org/oclc/10557638","WorldCat Record")</f>
        <v>WorldCat Record</v>
      </c>
    </row>
    <row r="212" spans="1:46" ht="40.5" customHeight="1" x14ac:dyDescent="0.25">
      <c r="A212" s="8" t="s">
        <v>58</v>
      </c>
      <c r="B212" s="2" t="s">
        <v>2091</v>
      </c>
      <c r="C212" s="2" t="s">
        <v>2092</v>
      </c>
      <c r="D212" s="2" t="s">
        <v>2093</v>
      </c>
      <c r="F212" s="3" t="s">
        <v>58</v>
      </c>
      <c r="G212" s="3" t="s">
        <v>59</v>
      </c>
      <c r="H212" s="3" t="s">
        <v>58</v>
      </c>
      <c r="I212" s="3" t="s">
        <v>115</v>
      </c>
      <c r="J212" s="3" t="s">
        <v>60</v>
      </c>
      <c r="K212" s="2" t="s">
        <v>2094</v>
      </c>
      <c r="L212" s="2" t="s">
        <v>1708</v>
      </c>
      <c r="M212" s="3" t="s">
        <v>515</v>
      </c>
      <c r="O212" s="3" t="s">
        <v>64</v>
      </c>
      <c r="P212" s="3" t="s">
        <v>1355</v>
      </c>
      <c r="R212" s="3" t="s">
        <v>1346</v>
      </c>
      <c r="S212" s="4">
        <v>23</v>
      </c>
      <c r="T212" s="4">
        <v>23</v>
      </c>
      <c r="U212" s="5" t="s">
        <v>1857</v>
      </c>
      <c r="V212" s="5" t="s">
        <v>1857</v>
      </c>
      <c r="W212" s="5" t="s">
        <v>2095</v>
      </c>
      <c r="X212" s="5" t="s">
        <v>2095</v>
      </c>
      <c r="Y212" s="4">
        <v>181</v>
      </c>
      <c r="Z212" s="4">
        <v>159</v>
      </c>
      <c r="AA212" s="4">
        <v>263</v>
      </c>
      <c r="AB212" s="4">
        <v>1</v>
      </c>
      <c r="AC212" s="4">
        <v>1</v>
      </c>
      <c r="AD212" s="4">
        <v>7</v>
      </c>
      <c r="AE212" s="4">
        <v>10</v>
      </c>
      <c r="AF212" s="4">
        <v>2</v>
      </c>
      <c r="AG212" s="4">
        <v>2</v>
      </c>
      <c r="AH212" s="4">
        <v>2</v>
      </c>
      <c r="AI212" s="4">
        <v>2</v>
      </c>
      <c r="AJ212" s="4">
        <v>1</v>
      </c>
      <c r="AK212" s="4">
        <v>1</v>
      </c>
      <c r="AL212" s="4">
        <v>0</v>
      </c>
      <c r="AM212" s="4">
        <v>0</v>
      </c>
      <c r="AN212" s="4">
        <v>3</v>
      </c>
      <c r="AO212" s="4">
        <v>6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HYPERLINK("https://creighton-primo.hosted.exlibrisgroup.com/primo-explore/search?tab=default_tab&amp;search_scope=EVERYTHING&amp;vid=01CRU&amp;lang=en_US&amp;offset=0&amp;query=any,contains,991001528569702656","Catalog Record")</f>
        <v>Catalog Record</v>
      </c>
      <c r="AT212" s="6" t="str">
        <f>HYPERLINK("http://www.worldcat.org/oclc/12418611","WorldCat Record")</f>
        <v>WorldCat Record</v>
      </c>
    </row>
    <row r="213" spans="1:46" ht="40.5" customHeight="1" x14ac:dyDescent="0.25">
      <c r="A213" s="8" t="s">
        <v>58</v>
      </c>
      <c r="B213" s="2" t="s">
        <v>2096</v>
      </c>
      <c r="C213" s="2" t="s">
        <v>2097</v>
      </c>
      <c r="D213" s="2" t="s">
        <v>2093</v>
      </c>
      <c r="F213" s="3" t="s">
        <v>58</v>
      </c>
      <c r="G213" s="3" t="s">
        <v>59</v>
      </c>
      <c r="H213" s="3" t="s">
        <v>58</v>
      </c>
      <c r="I213" s="3" t="s">
        <v>115</v>
      </c>
      <c r="J213" s="3" t="s">
        <v>60</v>
      </c>
      <c r="K213" s="2" t="s">
        <v>2094</v>
      </c>
      <c r="L213" s="2" t="s">
        <v>2098</v>
      </c>
      <c r="M213" s="3" t="s">
        <v>189</v>
      </c>
      <c r="N213" s="2" t="s">
        <v>143</v>
      </c>
      <c r="O213" s="3" t="s">
        <v>64</v>
      </c>
      <c r="P213" s="3" t="s">
        <v>144</v>
      </c>
      <c r="R213" s="3" t="s">
        <v>1346</v>
      </c>
      <c r="S213" s="4">
        <v>19</v>
      </c>
      <c r="T213" s="4">
        <v>19</v>
      </c>
      <c r="U213" s="5" t="s">
        <v>2099</v>
      </c>
      <c r="V213" s="5" t="s">
        <v>2099</v>
      </c>
      <c r="W213" s="5" t="s">
        <v>2100</v>
      </c>
      <c r="X213" s="5" t="s">
        <v>2100</v>
      </c>
      <c r="Y213" s="4">
        <v>161</v>
      </c>
      <c r="Z213" s="4">
        <v>151</v>
      </c>
      <c r="AA213" s="4">
        <v>263</v>
      </c>
      <c r="AB213" s="4">
        <v>1</v>
      </c>
      <c r="AC213" s="4">
        <v>1</v>
      </c>
      <c r="AD213" s="4">
        <v>6</v>
      </c>
      <c r="AE213" s="4">
        <v>10</v>
      </c>
      <c r="AF213" s="4">
        <v>2</v>
      </c>
      <c r="AG213" s="4">
        <v>2</v>
      </c>
      <c r="AH213" s="4">
        <v>2</v>
      </c>
      <c r="AI213" s="4">
        <v>2</v>
      </c>
      <c r="AJ213" s="4">
        <v>0</v>
      </c>
      <c r="AK213" s="4">
        <v>1</v>
      </c>
      <c r="AL213" s="4">
        <v>0</v>
      </c>
      <c r="AM213" s="4">
        <v>0</v>
      </c>
      <c r="AN213" s="4">
        <v>3</v>
      </c>
      <c r="AO213" s="4">
        <v>6</v>
      </c>
      <c r="AP213" s="3" t="s">
        <v>58</v>
      </c>
      <c r="AQ213" s="3" t="s">
        <v>115</v>
      </c>
      <c r="AR213" s="6" t="str">
        <f>HYPERLINK("http://catalog.hathitrust.org/Record/002536532","HathiTrust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HYPERLINK("https://creighton-primo.hosted.exlibrisgroup.com/primo-explore/search?tab=default_tab&amp;search_scope=EVERYTHING&amp;vid=01CRU&amp;lang=en_US&amp;offset=0&amp;query=any,contains,991001434329702656","Catalog Record")</f>
        <v>Catalog Record</v>
      </c>
      <c r="AT213" s="6" t="str">
        <f>HYPERLINK("http://www.worldcat.org/oclc/24669804","WorldCat Record")</f>
        <v>WorldCat Record</v>
      </c>
    </row>
    <row r="214" spans="1:46" ht="40.5" customHeight="1" x14ac:dyDescent="0.25">
      <c r="A214" s="8" t="s">
        <v>58</v>
      </c>
      <c r="B214" s="2" t="s">
        <v>2101</v>
      </c>
      <c r="C214" s="2" t="s">
        <v>2102</v>
      </c>
      <c r="D214" s="2" t="s">
        <v>2103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L214" s="2" t="s">
        <v>2104</v>
      </c>
      <c r="M214" s="3" t="s">
        <v>95</v>
      </c>
      <c r="N214" s="2" t="s">
        <v>143</v>
      </c>
      <c r="O214" s="3" t="s">
        <v>64</v>
      </c>
      <c r="P214" s="3" t="s">
        <v>112</v>
      </c>
      <c r="R214" s="3" t="s">
        <v>1346</v>
      </c>
      <c r="S214" s="4">
        <v>2</v>
      </c>
      <c r="T214" s="4">
        <v>2</v>
      </c>
      <c r="U214" s="5" t="s">
        <v>2105</v>
      </c>
      <c r="V214" s="5" t="s">
        <v>2105</v>
      </c>
      <c r="W214" s="5" t="s">
        <v>2106</v>
      </c>
      <c r="X214" s="5" t="s">
        <v>2106</v>
      </c>
      <c r="Y214" s="4">
        <v>112</v>
      </c>
      <c r="Z214" s="4">
        <v>72</v>
      </c>
      <c r="AA214" s="4">
        <v>217</v>
      </c>
      <c r="AB214" s="4">
        <v>1</v>
      </c>
      <c r="AC214" s="4">
        <v>2</v>
      </c>
      <c r="AD214" s="4">
        <v>2</v>
      </c>
      <c r="AE214" s="4">
        <v>3</v>
      </c>
      <c r="AF214" s="4">
        <v>0</v>
      </c>
      <c r="AG214" s="4">
        <v>0</v>
      </c>
      <c r="AH214" s="4">
        <v>1</v>
      </c>
      <c r="AI214" s="4">
        <v>1</v>
      </c>
      <c r="AJ214" s="4">
        <v>0</v>
      </c>
      <c r="AK214" s="4">
        <v>0</v>
      </c>
      <c r="AL214" s="4">
        <v>0</v>
      </c>
      <c r="AM214" s="4">
        <v>1</v>
      </c>
      <c r="AN214" s="4">
        <v>1</v>
      </c>
      <c r="AO214" s="4">
        <v>1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HYPERLINK("https://creighton-primo.hosted.exlibrisgroup.com/primo-explore/search?tab=default_tab&amp;search_scope=EVERYTHING&amp;vid=01CRU&amp;lang=en_US&amp;offset=0&amp;query=any,contains,991000349169702656","Catalog Record")</f>
        <v>Catalog Record</v>
      </c>
      <c r="AT214" s="6" t="str">
        <f>HYPERLINK("http://www.worldcat.org/oclc/45420161","WorldCat Record")</f>
        <v>WorldCat Record</v>
      </c>
    </row>
    <row r="215" spans="1:46" ht="40.5" customHeight="1" x14ac:dyDescent="0.25">
      <c r="A215" s="8" t="s">
        <v>58</v>
      </c>
      <c r="B215" s="2" t="s">
        <v>2107</v>
      </c>
      <c r="C215" s="2" t="s">
        <v>2108</v>
      </c>
      <c r="D215" s="2" t="s">
        <v>2109</v>
      </c>
      <c r="E215" s="3" t="s">
        <v>2110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L215" s="2" t="s">
        <v>2111</v>
      </c>
      <c r="M215" s="3" t="s">
        <v>821</v>
      </c>
      <c r="O215" s="3" t="s">
        <v>64</v>
      </c>
      <c r="P215" s="3" t="s">
        <v>585</v>
      </c>
      <c r="Q215" s="2" t="s">
        <v>2112</v>
      </c>
      <c r="R215" s="3" t="s">
        <v>1346</v>
      </c>
      <c r="S215" s="4">
        <v>5</v>
      </c>
      <c r="T215" s="4">
        <v>5</v>
      </c>
      <c r="U215" s="5" t="s">
        <v>2113</v>
      </c>
      <c r="V215" s="5" t="s">
        <v>2113</v>
      </c>
      <c r="W215" s="5" t="s">
        <v>2114</v>
      </c>
      <c r="X215" s="5" t="s">
        <v>2114</v>
      </c>
      <c r="Y215" s="4">
        <v>122</v>
      </c>
      <c r="Z215" s="4">
        <v>84</v>
      </c>
      <c r="AA215" s="4">
        <v>100</v>
      </c>
      <c r="AB215" s="4">
        <v>1</v>
      </c>
      <c r="AC215" s="4">
        <v>1</v>
      </c>
      <c r="AD215" s="4">
        <v>3</v>
      </c>
      <c r="AE215" s="4">
        <v>3</v>
      </c>
      <c r="AF215" s="4">
        <v>1</v>
      </c>
      <c r="AG215" s="4">
        <v>1</v>
      </c>
      <c r="AH215" s="4">
        <v>2</v>
      </c>
      <c r="AI215" s="4">
        <v>2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3" t="s">
        <v>58</v>
      </c>
      <c r="AQ215" s="3" t="s">
        <v>115</v>
      </c>
      <c r="AR215" s="6" t="str">
        <f>HYPERLINK("http://catalog.hathitrust.org/Record/001579311","HathiTrust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HYPERLINK("https://creighton-primo.hosted.exlibrisgroup.com/primo-explore/search?tab=default_tab&amp;search_scope=EVERYTHING&amp;vid=01CRU&amp;lang=en_US&amp;offset=0&amp;query=any,contains,991000951849702656","Catalog Record")</f>
        <v>Catalog Record</v>
      </c>
      <c r="AT215" s="6" t="str">
        <f>HYPERLINK("http://www.worldcat.org/oclc/3515687","WorldCat Record")</f>
        <v>WorldCat Record</v>
      </c>
    </row>
    <row r="216" spans="1:46" ht="40.5" customHeight="1" x14ac:dyDescent="0.25">
      <c r="A216" s="8" t="s">
        <v>58</v>
      </c>
      <c r="B216" s="2" t="s">
        <v>2115</v>
      </c>
      <c r="C216" s="2" t="s">
        <v>2116</v>
      </c>
      <c r="D216" s="2" t="s">
        <v>2117</v>
      </c>
      <c r="E216" s="3" t="s">
        <v>2118</v>
      </c>
      <c r="F216" s="3" t="s">
        <v>115</v>
      </c>
      <c r="G216" s="3" t="s">
        <v>59</v>
      </c>
      <c r="H216" s="3" t="s">
        <v>58</v>
      </c>
      <c r="I216" s="3" t="s">
        <v>58</v>
      </c>
      <c r="J216" s="3" t="s">
        <v>60</v>
      </c>
      <c r="L216" s="2" t="s">
        <v>2119</v>
      </c>
      <c r="M216" s="3" t="s">
        <v>220</v>
      </c>
      <c r="O216" s="3" t="s">
        <v>64</v>
      </c>
      <c r="P216" s="3" t="s">
        <v>585</v>
      </c>
      <c r="Q216" s="2" t="s">
        <v>2120</v>
      </c>
      <c r="R216" s="3" t="s">
        <v>1346</v>
      </c>
      <c r="S216" s="4">
        <v>0</v>
      </c>
      <c r="T216" s="4">
        <v>4</v>
      </c>
      <c r="V216" s="5" t="s">
        <v>2121</v>
      </c>
      <c r="W216" s="5" t="s">
        <v>2114</v>
      </c>
      <c r="X216" s="5" t="s">
        <v>2114</v>
      </c>
      <c r="Y216" s="4">
        <v>183</v>
      </c>
      <c r="Z216" s="4">
        <v>127</v>
      </c>
      <c r="AA216" s="4">
        <v>144</v>
      </c>
      <c r="AB216" s="4">
        <v>1</v>
      </c>
      <c r="AC216" s="4">
        <v>1</v>
      </c>
      <c r="AD216" s="4">
        <v>2</v>
      </c>
      <c r="AE216" s="4">
        <v>2</v>
      </c>
      <c r="AF216" s="4">
        <v>0</v>
      </c>
      <c r="AG216" s="4">
        <v>0</v>
      </c>
      <c r="AH216" s="4">
        <v>2</v>
      </c>
      <c r="AI216" s="4">
        <v>2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3" t="s">
        <v>58</v>
      </c>
      <c r="AQ216" s="3" t="s">
        <v>115</v>
      </c>
      <c r="AR216" s="6" t="str">
        <f>HYPERLINK("http://catalog.hathitrust.org/Record/008160488","HathiTrust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HYPERLINK("https://creighton-primo.hosted.exlibrisgroup.com/primo-explore/search?tab=default_tab&amp;search_scope=EVERYTHING&amp;vid=01CRU&amp;lang=en_US&amp;offset=0&amp;query=any,contains,991000951809702656","Catalog Record")</f>
        <v>Catalog Record</v>
      </c>
      <c r="AT216" s="6" t="str">
        <f>HYPERLINK("http://www.worldcat.org/oclc/155228","WorldCat Record")</f>
        <v>WorldCat Record</v>
      </c>
    </row>
    <row r="217" spans="1:46" ht="40.5" customHeight="1" x14ac:dyDescent="0.25">
      <c r="A217" s="8" t="s">
        <v>58</v>
      </c>
      <c r="B217" s="2" t="s">
        <v>2115</v>
      </c>
      <c r="C217" s="2" t="s">
        <v>2116</v>
      </c>
      <c r="D217" s="2" t="s">
        <v>2117</v>
      </c>
      <c r="E217" s="3" t="s">
        <v>2122</v>
      </c>
      <c r="F217" s="3" t="s">
        <v>115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2119</v>
      </c>
      <c r="M217" s="3" t="s">
        <v>220</v>
      </c>
      <c r="O217" s="3" t="s">
        <v>64</v>
      </c>
      <c r="P217" s="3" t="s">
        <v>585</v>
      </c>
      <c r="Q217" s="2" t="s">
        <v>2120</v>
      </c>
      <c r="R217" s="3" t="s">
        <v>1346</v>
      </c>
      <c r="S217" s="4">
        <v>4</v>
      </c>
      <c r="T217" s="4">
        <v>4</v>
      </c>
      <c r="U217" s="5" t="s">
        <v>2121</v>
      </c>
      <c r="V217" s="5" t="s">
        <v>2121</v>
      </c>
      <c r="W217" s="5" t="s">
        <v>2114</v>
      </c>
      <c r="X217" s="5" t="s">
        <v>2114</v>
      </c>
      <c r="Y217" s="4">
        <v>183</v>
      </c>
      <c r="Z217" s="4">
        <v>127</v>
      </c>
      <c r="AA217" s="4">
        <v>144</v>
      </c>
      <c r="AB217" s="4">
        <v>1</v>
      </c>
      <c r="AC217" s="4">
        <v>1</v>
      </c>
      <c r="AD217" s="4">
        <v>2</v>
      </c>
      <c r="AE217" s="4">
        <v>2</v>
      </c>
      <c r="AF217" s="4">
        <v>0</v>
      </c>
      <c r="AG217" s="4">
        <v>0</v>
      </c>
      <c r="AH217" s="4">
        <v>2</v>
      </c>
      <c r="AI217" s="4">
        <v>2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3" t="s">
        <v>58</v>
      </c>
      <c r="AQ217" s="3" t="s">
        <v>115</v>
      </c>
      <c r="AR217" s="6" t="str">
        <f>HYPERLINK("http://catalog.hathitrust.org/Record/008160488","HathiTrust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HYPERLINK("https://creighton-primo.hosted.exlibrisgroup.com/primo-explore/search?tab=default_tab&amp;search_scope=EVERYTHING&amp;vid=01CRU&amp;lang=en_US&amp;offset=0&amp;query=any,contains,991000951809702656","Catalog Record")</f>
        <v>Catalog Record</v>
      </c>
      <c r="AT217" s="6" t="str">
        <f>HYPERLINK("http://www.worldcat.org/oclc/155228","WorldCat Record")</f>
        <v>WorldCat Record</v>
      </c>
    </row>
    <row r="218" spans="1:46" ht="40.5" customHeight="1" x14ac:dyDescent="0.25">
      <c r="A218" s="8" t="s">
        <v>58</v>
      </c>
      <c r="B218" s="2" t="s">
        <v>2123</v>
      </c>
      <c r="C218" s="2" t="s">
        <v>2124</v>
      </c>
      <c r="D218" s="2" t="s">
        <v>2125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2126</v>
      </c>
      <c r="L218" s="2" t="s">
        <v>2127</v>
      </c>
      <c r="M218" s="3" t="s">
        <v>235</v>
      </c>
      <c r="N218" s="2" t="s">
        <v>2128</v>
      </c>
      <c r="O218" s="3" t="s">
        <v>64</v>
      </c>
      <c r="P218" s="3" t="s">
        <v>755</v>
      </c>
      <c r="R218" s="3" t="s">
        <v>1346</v>
      </c>
      <c r="S218" s="4">
        <v>2</v>
      </c>
      <c r="T218" s="4">
        <v>2</v>
      </c>
      <c r="U218" s="5" t="s">
        <v>2129</v>
      </c>
      <c r="V218" s="5" t="s">
        <v>2129</v>
      </c>
      <c r="W218" s="5" t="s">
        <v>2130</v>
      </c>
      <c r="X218" s="5" t="s">
        <v>2130</v>
      </c>
      <c r="Y218" s="4">
        <v>12</v>
      </c>
      <c r="Z218" s="4">
        <v>12</v>
      </c>
      <c r="AA218" s="4">
        <v>12</v>
      </c>
      <c r="AB218" s="4">
        <v>1</v>
      </c>
      <c r="AC218" s="4">
        <v>1</v>
      </c>
      <c r="AD218" s="4">
        <v>1</v>
      </c>
      <c r="AE218" s="4">
        <v>1</v>
      </c>
      <c r="AF218" s="4">
        <v>1</v>
      </c>
      <c r="AG218" s="4">
        <v>1</v>
      </c>
      <c r="AH218" s="4">
        <v>1</v>
      </c>
      <c r="AI218" s="4">
        <v>1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HYPERLINK("https://creighton-primo.hosted.exlibrisgroup.com/primo-explore/search?tab=default_tab&amp;search_scope=EVERYTHING&amp;vid=01CRU&amp;lang=en_US&amp;offset=0&amp;query=any,contains,991000951969702656","Catalog Record")</f>
        <v>Catalog Record</v>
      </c>
      <c r="AT218" s="6" t="str">
        <f>HYPERLINK("http://www.worldcat.org/oclc/3851970","WorldCat Record")</f>
        <v>WorldCat Record</v>
      </c>
    </row>
    <row r="219" spans="1:46" ht="40.5" customHeight="1" x14ac:dyDescent="0.25">
      <c r="A219" s="8" t="s">
        <v>58</v>
      </c>
      <c r="B219" s="2" t="s">
        <v>2131</v>
      </c>
      <c r="C219" s="2" t="s">
        <v>2132</v>
      </c>
      <c r="D219" s="2" t="s">
        <v>2133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2134</v>
      </c>
      <c r="L219" s="2" t="s">
        <v>2135</v>
      </c>
      <c r="M219" s="3" t="s">
        <v>572</v>
      </c>
      <c r="O219" s="3" t="s">
        <v>64</v>
      </c>
      <c r="P219" s="3" t="s">
        <v>96</v>
      </c>
      <c r="R219" s="3" t="s">
        <v>1346</v>
      </c>
      <c r="S219" s="4">
        <v>1</v>
      </c>
      <c r="T219" s="4">
        <v>1</v>
      </c>
      <c r="U219" s="5" t="s">
        <v>2136</v>
      </c>
      <c r="V219" s="5" t="s">
        <v>2136</v>
      </c>
      <c r="W219" s="5" t="s">
        <v>1990</v>
      </c>
      <c r="X219" s="5" t="s">
        <v>1990</v>
      </c>
      <c r="Y219" s="4">
        <v>132</v>
      </c>
      <c r="Z219" s="4">
        <v>79</v>
      </c>
      <c r="AA219" s="4">
        <v>591</v>
      </c>
      <c r="AB219" s="4">
        <v>1</v>
      </c>
      <c r="AC219" s="4">
        <v>5</v>
      </c>
      <c r="AD219" s="4">
        <v>3</v>
      </c>
      <c r="AE219" s="4">
        <v>26</v>
      </c>
      <c r="AF219" s="4">
        <v>2</v>
      </c>
      <c r="AG219" s="4">
        <v>9</v>
      </c>
      <c r="AH219" s="4">
        <v>1</v>
      </c>
      <c r="AI219" s="4">
        <v>8</v>
      </c>
      <c r="AJ219" s="4">
        <v>0</v>
      </c>
      <c r="AK219" s="4">
        <v>8</v>
      </c>
      <c r="AL219" s="4">
        <v>0</v>
      </c>
      <c r="AM219" s="4">
        <v>4</v>
      </c>
      <c r="AN219" s="4">
        <v>0</v>
      </c>
      <c r="AO219" s="4">
        <v>1</v>
      </c>
      <c r="AP219" s="3" t="s">
        <v>58</v>
      </c>
      <c r="AQ219" s="3" t="s">
        <v>115</v>
      </c>
      <c r="AR219" s="6" t="str">
        <f>HYPERLINK("http://catalog.hathitrust.org/Record/004336865","HathiTrust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HYPERLINK("https://creighton-primo.hosted.exlibrisgroup.com/primo-explore/search?tab=default_tab&amp;search_scope=EVERYTHING&amp;vid=01CRU&amp;lang=en_US&amp;offset=0&amp;query=any,contains,991000411019702656","Catalog Record")</f>
        <v>Catalog Record</v>
      </c>
      <c r="AT219" s="6" t="str">
        <f>HYPERLINK("http://www.worldcat.org/oclc/52295258","WorldCat Record")</f>
        <v>WorldCat Record</v>
      </c>
    </row>
    <row r="220" spans="1:46" ht="40.5" customHeight="1" x14ac:dyDescent="0.25">
      <c r="A220" s="8" t="s">
        <v>58</v>
      </c>
      <c r="B220" s="2" t="s">
        <v>2137</v>
      </c>
      <c r="C220" s="2" t="s">
        <v>2138</v>
      </c>
      <c r="D220" s="2" t="s">
        <v>2139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2140</v>
      </c>
      <c r="L220" s="2" t="s">
        <v>599</v>
      </c>
      <c r="M220" s="3" t="s">
        <v>142</v>
      </c>
      <c r="O220" s="3" t="s">
        <v>64</v>
      </c>
      <c r="P220" s="3" t="s">
        <v>65</v>
      </c>
      <c r="R220" s="3" t="s">
        <v>1346</v>
      </c>
      <c r="S220" s="4">
        <v>6</v>
      </c>
      <c r="T220" s="4">
        <v>6</v>
      </c>
      <c r="U220" s="5" t="s">
        <v>951</v>
      </c>
      <c r="V220" s="5" t="s">
        <v>951</v>
      </c>
      <c r="W220" s="5" t="s">
        <v>2141</v>
      </c>
      <c r="X220" s="5" t="s">
        <v>2141</v>
      </c>
      <c r="Y220" s="4">
        <v>81</v>
      </c>
      <c r="Z220" s="4">
        <v>55</v>
      </c>
      <c r="AA220" s="4">
        <v>82</v>
      </c>
      <c r="AB220" s="4">
        <v>1</v>
      </c>
      <c r="AC220" s="4">
        <v>1</v>
      </c>
      <c r="AD220" s="4">
        <v>2</v>
      </c>
      <c r="AE220" s="4">
        <v>3</v>
      </c>
      <c r="AF220" s="4">
        <v>1</v>
      </c>
      <c r="AG220" s="4">
        <v>2</v>
      </c>
      <c r="AH220" s="4">
        <v>1</v>
      </c>
      <c r="AI220" s="4">
        <v>1</v>
      </c>
      <c r="AJ220" s="4">
        <v>1</v>
      </c>
      <c r="AK220" s="4">
        <v>2</v>
      </c>
      <c r="AL220" s="4">
        <v>0</v>
      </c>
      <c r="AM220" s="4">
        <v>0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HYPERLINK("https://creighton-primo.hosted.exlibrisgroup.com/primo-explore/search?tab=default_tab&amp;search_scope=EVERYTHING&amp;vid=01CRU&amp;lang=en_US&amp;offset=0&amp;query=any,contains,991001021499702656","Catalog Record")</f>
        <v>Catalog Record</v>
      </c>
      <c r="AT220" s="6" t="str">
        <f>HYPERLINK("http://www.worldcat.org/oclc/24065077","WorldCat Record")</f>
        <v>WorldCat Record</v>
      </c>
    </row>
    <row r="221" spans="1:46" ht="40.5" customHeight="1" x14ac:dyDescent="0.25">
      <c r="A221" s="8" t="s">
        <v>58</v>
      </c>
      <c r="B221" s="2" t="s">
        <v>2142</v>
      </c>
      <c r="C221" s="2" t="s">
        <v>2143</v>
      </c>
      <c r="D221" s="2" t="s">
        <v>2144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2145</v>
      </c>
      <c r="L221" s="2" t="s">
        <v>2146</v>
      </c>
      <c r="M221" s="3" t="s">
        <v>515</v>
      </c>
      <c r="O221" s="3" t="s">
        <v>64</v>
      </c>
      <c r="P221" s="3" t="s">
        <v>112</v>
      </c>
      <c r="R221" s="3" t="s">
        <v>1346</v>
      </c>
      <c r="S221" s="4">
        <v>15</v>
      </c>
      <c r="T221" s="4">
        <v>15</v>
      </c>
      <c r="U221" s="5" t="s">
        <v>2147</v>
      </c>
      <c r="V221" s="5" t="s">
        <v>2147</v>
      </c>
      <c r="W221" s="5" t="s">
        <v>2130</v>
      </c>
      <c r="X221" s="5" t="s">
        <v>2130</v>
      </c>
      <c r="Y221" s="4">
        <v>128</v>
      </c>
      <c r="Z221" s="4">
        <v>74</v>
      </c>
      <c r="AA221" s="4">
        <v>74</v>
      </c>
      <c r="AB221" s="4">
        <v>1</v>
      </c>
      <c r="AC221" s="4">
        <v>1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3" t="s">
        <v>58</v>
      </c>
      <c r="AQ221" s="3" t="s">
        <v>58</v>
      </c>
      <c r="AS221" s="6" t="str">
        <f>HYPERLINK("https://creighton-primo.hosted.exlibrisgroup.com/primo-explore/search?tab=default_tab&amp;search_scope=EVERYTHING&amp;vid=01CRU&amp;lang=en_US&amp;offset=0&amp;query=any,contains,991000951929702656","Catalog Record")</f>
        <v>Catalog Record</v>
      </c>
      <c r="AT221" s="6" t="str">
        <f>HYPERLINK("http://www.worldcat.org/oclc/12977848","WorldCat Record")</f>
        <v>WorldCat Record</v>
      </c>
    </row>
    <row r="222" spans="1:46" ht="40.5" customHeight="1" x14ac:dyDescent="0.25">
      <c r="A222" s="8" t="s">
        <v>58</v>
      </c>
      <c r="B222" s="2" t="s">
        <v>2148</v>
      </c>
      <c r="C222" s="2" t="s">
        <v>2149</v>
      </c>
      <c r="D222" s="2" t="s">
        <v>2150</v>
      </c>
      <c r="F222" s="3" t="s">
        <v>58</v>
      </c>
      <c r="G222" s="3" t="s">
        <v>59</v>
      </c>
      <c r="H222" s="3" t="s">
        <v>58</v>
      </c>
      <c r="I222" s="3" t="s">
        <v>115</v>
      </c>
      <c r="J222" s="3" t="s">
        <v>1440</v>
      </c>
      <c r="K222" s="2" t="s">
        <v>2151</v>
      </c>
      <c r="L222" s="2" t="s">
        <v>2152</v>
      </c>
      <c r="M222" s="3" t="s">
        <v>424</v>
      </c>
      <c r="N222" s="2" t="s">
        <v>221</v>
      </c>
      <c r="O222" s="3" t="s">
        <v>64</v>
      </c>
      <c r="P222" s="3" t="s">
        <v>643</v>
      </c>
      <c r="R222" s="3" t="s">
        <v>1346</v>
      </c>
      <c r="S222" s="4">
        <v>32</v>
      </c>
      <c r="T222" s="4">
        <v>32</v>
      </c>
      <c r="U222" s="5" t="s">
        <v>2153</v>
      </c>
      <c r="V222" s="5" t="s">
        <v>2153</v>
      </c>
      <c r="W222" s="5" t="s">
        <v>2154</v>
      </c>
      <c r="X222" s="5" t="s">
        <v>2154</v>
      </c>
      <c r="Y222" s="4">
        <v>237</v>
      </c>
      <c r="Z222" s="4">
        <v>160</v>
      </c>
      <c r="AA222" s="4">
        <v>1284</v>
      </c>
      <c r="AB222" s="4">
        <v>2</v>
      </c>
      <c r="AC222" s="4">
        <v>16</v>
      </c>
      <c r="AD222" s="4">
        <v>2</v>
      </c>
      <c r="AE222" s="4">
        <v>50</v>
      </c>
      <c r="AF222" s="4">
        <v>1</v>
      </c>
      <c r="AG222" s="4">
        <v>16</v>
      </c>
      <c r="AH222" s="4">
        <v>0</v>
      </c>
      <c r="AI222" s="4">
        <v>11</v>
      </c>
      <c r="AJ222" s="4">
        <v>1</v>
      </c>
      <c r="AK222" s="4">
        <v>17</v>
      </c>
      <c r="AL222" s="4">
        <v>0</v>
      </c>
      <c r="AM222" s="4">
        <v>13</v>
      </c>
      <c r="AN222" s="4">
        <v>0</v>
      </c>
      <c r="AO222" s="4">
        <v>2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HYPERLINK("https://creighton-primo.hosted.exlibrisgroup.com/primo-explore/search?tab=default_tab&amp;search_scope=EVERYTHING&amp;vid=01CRU&amp;lang=en_US&amp;offset=0&amp;query=any,contains,991001194779702656","Catalog Record")</f>
        <v>Catalog Record</v>
      </c>
      <c r="AT222" s="6" t="str">
        <f>HYPERLINK("http://www.worldcat.org/oclc/30376139","WorldCat Record")</f>
        <v>WorldCat Record</v>
      </c>
    </row>
    <row r="223" spans="1:46" ht="40.5" customHeight="1" x14ac:dyDescent="0.25">
      <c r="A223" s="8" t="s">
        <v>58</v>
      </c>
      <c r="B223" s="2" t="s">
        <v>2155</v>
      </c>
      <c r="C223" s="2" t="s">
        <v>2156</v>
      </c>
      <c r="D223" s="2" t="s">
        <v>2150</v>
      </c>
      <c r="F223" s="3" t="s">
        <v>58</v>
      </c>
      <c r="G223" s="3" t="s">
        <v>1440</v>
      </c>
      <c r="H223" s="3" t="s">
        <v>58</v>
      </c>
      <c r="I223" s="3" t="s">
        <v>115</v>
      </c>
      <c r="J223" s="3" t="s">
        <v>1440</v>
      </c>
      <c r="K223" s="2" t="s">
        <v>2151</v>
      </c>
      <c r="L223" s="2" t="s">
        <v>2157</v>
      </c>
      <c r="M223" s="3" t="s">
        <v>892</v>
      </c>
      <c r="N223" s="2" t="s">
        <v>1362</v>
      </c>
      <c r="O223" s="3" t="s">
        <v>64</v>
      </c>
      <c r="P223" s="3" t="s">
        <v>643</v>
      </c>
      <c r="R223" s="3" t="s">
        <v>1346</v>
      </c>
      <c r="S223" s="4">
        <v>95</v>
      </c>
      <c r="T223" s="4">
        <v>95</v>
      </c>
      <c r="U223" s="5" t="s">
        <v>2158</v>
      </c>
      <c r="V223" s="5" t="s">
        <v>2158</v>
      </c>
      <c r="W223" s="5" t="s">
        <v>2159</v>
      </c>
      <c r="X223" s="5" t="s">
        <v>2159</v>
      </c>
      <c r="Y223" s="4">
        <v>245</v>
      </c>
      <c r="Z223" s="4">
        <v>175</v>
      </c>
      <c r="AA223" s="4">
        <v>1284</v>
      </c>
      <c r="AB223" s="4">
        <v>3</v>
      </c>
      <c r="AC223" s="4">
        <v>16</v>
      </c>
      <c r="AD223" s="4">
        <v>6</v>
      </c>
      <c r="AE223" s="4">
        <v>50</v>
      </c>
      <c r="AF223" s="4">
        <v>3</v>
      </c>
      <c r="AG223" s="4">
        <v>16</v>
      </c>
      <c r="AH223" s="4">
        <v>1</v>
      </c>
      <c r="AI223" s="4">
        <v>11</v>
      </c>
      <c r="AJ223" s="4">
        <v>2</v>
      </c>
      <c r="AK223" s="4">
        <v>17</v>
      </c>
      <c r="AL223" s="4">
        <v>1</v>
      </c>
      <c r="AM223" s="4">
        <v>13</v>
      </c>
      <c r="AN223" s="4">
        <v>0</v>
      </c>
      <c r="AO223" s="4">
        <v>2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HYPERLINK("https://creighton-primo.hosted.exlibrisgroup.com/primo-explore/search?tab=default_tab&amp;search_scope=EVERYTHING&amp;vid=01CRU&amp;lang=en_US&amp;offset=0&amp;query=any,contains,991000666659702656","Catalog Record")</f>
        <v>Catalog Record</v>
      </c>
      <c r="AT223" s="6" t="str">
        <f>HYPERLINK("http://www.worldcat.org/oclc/38016987","WorldCat Record")</f>
        <v>WorldCat Record</v>
      </c>
    </row>
    <row r="224" spans="1:46" ht="40.5" customHeight="1" x14ac:dyDescent="0.25">
      <c r="A224" s="8" t="s">
        <v>58</v>
      </c>
      <c r="B224" s="2" t="s">
        <v>2160</v>
      </c>
      <c r="C224" s="2" t="s">
        <v>2161</v>
      </c>
      <c r="D224" s="2" t="s">
        <v>2162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L224" s="2" t="s">
        <v>2163</v>
      </c>
      <c r="M224" s="3" t="s">
        <v>1511</v>
      </c>
      <c r="O224" s="3" t="s">
        <v>64</v>
      </c>
      <c r="P224" s="3" t="s">
        <v>1421</v>
      </c>
      <c r="R224" s="3" t="s">
        <v>1346</v>
      </c>
      <c r="S224" s="4">
        <v>6</v>
      </c>
      <c r="T224" s="4">
        <v>6</v>
      </c>
      <c r="U224" s="5" t="s">
        <v>2164</v>
      </c>
      <c r="V224" s="5" t="s">
        <v>2164</v>
      </c>
      <c r="W224" s="5" t="s">
        <v>2164</v>
      </c>
      <c r="X224" s="5" t="s">
        <v>2164</v>
      </c>
      <c r="Y224" s="4">
        <v>19</v>
      </c>
      <c r="Z224" s="4">
        <v>11</v>
      </c>
      <c r="AA224" s="4">
        <v>11</v>
      </c>
      <c r="AB224" s="4">
        <v>1</v>
      </c>
      <c r="AC224" s="4">
        <v>1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HYPERLINK("https://creighton-primo.hosted.exlibrisgroup.com/primo-explore/search?tab=default_tab&amp;search_scope=EVERYTHING&amp;vid=01CRU&amp;lang=en_US&amp;offset=0&amp;query=any,contains,991001282539702656","Catalog Record")</f>
        <v>Catalog Record</v>
      </c>
      <c r="AT224" s="6" t="str">
        <f>HYPERLINK("http://www.worldcat.org/oclc/19497025","WorldCat Record")</f>
        <v>WorldCat Record</v>
      </c>
    </row>
    <row r="225" spans="1:46" ht="40.5" customHeight="1" x14ac:dyDescent="0.25">
      <c r="A225" s="8" t="s">
        <v>58</v>
      </c>
      <c r="B225" s="2" t="s">
        <v>2165</v>
      </c>
      <c r="C225" s="2" t="s">
        <v>2166</v>
      </c>
      <c r="D225" s="2" t="s">
        <v>2167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L225" s="2" t="s">
        <v>2168</v>
      </c>
      <c r="M225" s="3" t="s">
        <v>290</v>
      </c>
      <c r="O225" s="3" t="s">
        <v>64</v>
      </c>
      <c r="P225" s="3" t="s">
        <v>1355</v>
      </c>
      <c r="R225" s="3" t="s">
        <v>1346</v>
      </c>
      <c r="S225" s="4">
        <v>9</v>
      </c>
      <c r="T225" s="4">
        <v>9</v>
      </c>
      <c r="U225" s="5" t="s">
        <v>1549</v>
      </c>
      <c r="V225" s="5" t="s">
        <v>1549</v>
      </c>
      <c r="W225" s="5" t="s">
        <v>2169</v>
      </c>
      <c r="X225" s="5" t="s">
        <v>2169</v>
      </c>
      <c r="Y225" s="4">
        <v>130</v>
      </c>
      <c r="Z225" s="4">
        <v>110</v>
      </c>
      <c r="AA225" s="4">
        <v>259</v>
      </c>
      <c r="AB225" s="4">
        <v>1</v>
      </c>
      <c r="AC225" s="4">
        <v>2</v>
      </c>
      <c r="AD225" s="4">
        <v>1</v>
      </c>
      <c r="AE225" s="4">
        <v>6</v>
      </c>
      <c r="AF225" s="4">
        <v>1</v>
      </c>
      <c r="AG225" s="4">
        <v>3</v>
      </c>
      <c r="AH225" s="4">
        <v>0</v>
      </c>
      <c r="AI225" s="4">
        <v>2</v>
      </c>
      <c r="AJ225" s="4">
        <v>1</v>
      </c>
      <c r="AK225" s="4">
        <v>3</v>
      </c>
      <c r="AL225" s="4">
        <v>0</v>
      </c>
      <c r="AM225" s="4">
        <v>1</v>
      </c>
      <c r="AN225" s="4">
        <v>0</v>
      </c>
      <c r="AO225" s="4">
        <v>0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HYPERLINK("https://creighton-primo.hosted.exlibrisgroup.com/primo-explore/search?tab=default_tab&amp;search_scope=EVERYTHING&amp;vid=01CRU&amp;lang=en_US&amp;offset=0&amp;query=any,contains,991001417319702656","Catalog Record")</f>
        <v>Catalog Record</v>
      </c>
      <c r="AT225" s="6" t="str">
        <f>HYPERLINK("http://www.worldcat.org/oclc/16950645","WorldCat Record")</f>
        <v>WorldCat Record</v>
      </c>
    </row>
    <row r="226" spans="1:46" ht="40.5" customHeight="1" x14ac:dyDescent="0.25">
      <c r="A226" s="8" t="s">
        <v>58</v>
      </c>
      <c r="B226" s="2" t="s">
        <v>2170</v>
      </c>
      <c r="C226" s="2" t="s">
        <v>2171</v>
      </c>
      <c r="D226" s="2" t="s">
        <v>2172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L226" s="2" t="s">
        <v>2173</v>
      </c>
      <c r="M226" s="3" t="s">
        <v>408</v>
      </c>
      <c r="N226" s="2" t="s">
        <v>2174</v>
      </c>
      <c r="O226" s="3" t="s">
        <v>64</v>
      </c>
      <c r="P226" s="3" t="s">
        <v>1355</v>
      </c>
      <c r="R226" s="3" t="s">
        <v>1346</v>
      </c>
      <c r="S226" s="4">
        <v>8</v>
      </c>
      <c r="T226" s="4">
        <v>8</v>
      </c>
      <c r="U226" s="5" t="s">
        <v>2175</v>
      </c>
      <c r="V226" s="5" t="s">
        <v>2175</v>
      </c>
      <c r="W226" s="5" t="s">
        <v>2176</v>
      </c>
      <c r="X226" s="5" t="s">
        <v>2176</v>
      </c>
      <c r="Y226" s="4">
        <v>177</v>
      </c>
      <c r="Z226" s="4">
        <v>151</v>
      </c>
      <c r="AA226" s="4">
        <v>241</v>
      </c>
      <c r="AB226" s="4">
        <v>1</v>
      </c>
      <c r="AC226" s="4">
        <v>2</v>
      </c>
      <c r="AD226" s="4">
        <v>4</v>
      </c>
      <c r="AE226" s="4">
        <v>6</v>
      </c>
      <c r="AF226" s="4">
        <v>1</v>
      </c>
      <c r="AG226" s="4">
        <v>1</v>
      </c>
      <c r="AH226" s="4">
        <v>1</v>
      </c>
      <c r="AI226" s="4">
        <v>1</v>
      </c>
      <c r="AJ226" s="4">
        <v>3</v>
      </c>
      <c r="AK226" s="4">
        <v>4</v>
      </c>
      <c r="AL226" s="4">
        <v>0</v>
      </c>
      <c r="AM226" s="4">
        <v>1</v>
      </c>
      <c r="AN226" s="4">
        <v>0</v>
      </c>
      <c r="AO226" s="4">
        <v>0</v>
      </c>
      <c r="AP226" s="3" t="s">
        <v>58</v>
      </c>
      <c r="AQ226" s="3" t="s">
        <v>115</v>
      </c>
      <c r="AR226" s="6" t="str">
        <f>HYPERLINK("http://catalog.hathitrust.org/Record/000462030","HathiTrust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HYPERLINK("https://creighton-primo.hosted.exlibrisgroup.com/primo-explore/search?tab=default_tab&amp;search_scope=EVERYTHING&amp;vid=01CRU&amp;lang=en_US&amp;offset=0&amp;query=any,contains,991001102529702656","Catalog Record")</f>
        <v>Catalog Record</v>
      </c>
      <c r="AT226" s="6" t="str">
        <f>HYPERLINK("http://www.worldcat.org/oclc/11470058","WorldCat Record")</f>
        <v>WorldCat Record</v>
      </c>
    </row>
    <row r="227" spans="1:46" ht="40.5" customHeight="1" x14ac:dyDescent="0.25">
      <c r="A227" s="8" t="s">
        <v>58</v>
      </c>
      <c r="B227" s="2" t="s">
        <v>2177</v>
      </c>
      <c r="C227" s="2" t="s">
        <v>2178</v>
      </c>
      <c r="D227" s="2" t="s">
        <v>2179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2180</v>
      </c>
      <c r="L227" s="2" t="s">
        <v>2181</v>
      </c>
      <c r="M227" s="3" t="s">
        <v>424</v>
      </c>
      <c r="N227" s="2" t="s">
        <v>143</v>
      </c>
      <c r="O227" s="3" t="s">
        <v>64</v>
      </c>
      <c r="P227" s="3" t="s">
        <v>112</v>
      </c>
      <c r="R227" s="3" t="s">
        <v>1346</v>
      </c>
      <c r="S227" s="4">
        <v>6</v>
      </c>
      <c r="T227" s="4">
        <v>6</v>
      </c>
      <c r="U227" s="5" t="s">
        <v>2182</v>
      </c>
      <c r="V227" s="5" t="s">
        <v>2182</v>
      </c>
      <c r="W227" s="5" t="s">
        <v>2183</v>
      </c>
      <c r="X227" s="5" t="s">
        <v>2183</v>
      </c>
      <c r="Y227" s="4">
        <v>168</v>
      </c>
      <c r="Z227" s="4">
        <v>86</v>
      </c>
      <c r="AA227" s="4">
        <v>214</v>
      </c>
      <c r="AB227" s="4">
        <v>1</v>
      </c>
      <c r="AC227" s="4">
        <v>1</v>
      </c>
      <c r="AD227" s="4">
        <v>2</v>
      </c>
      <c r="AE227" s="4">
        <v>6</v>
      </c>
      <c r="AF227" s="4">
        <v>1</v>
      </c>
      <c r="AG227" s="4">
        <v>3</v>
      </c>
      <c r="AH227" s="4">
        <v>1</v>
      </c>
      <c r="AI227" s="4">
        <v>1</v>
      </c>
      <c r="AJ227" s="4">
        <v>0</v>
      </c>
      <c r="AK227" s="4">
        <v>2</v>
      </c>
      <c r="AL227" s="4">
        <v>0</v>
      </c>
      <c r="AM227" s="4">
        <v>0</v>
      </c>
      <c r="AN227" s="4">
        <v>0</v>
      </c>
      <c r="AO227" s="4">
        <v>0</v>
      </c>
      <c r="AP227" s="3" t="s">
        <v>58</v>
      </c>
      <c r="AQ227" s="3" t="s">
        <v>58</v>
      </c>
      <c r="AS227" s="6" t="str">
        <f>HYPERLINK("https://creighton-primo.hosted.exlibrisgroup.com/primo-explore/search?tab=default_tab&amp;search_scope=EVERYTHING&amp;vid=01CRU&amp;lang=en_US&amp;offset=0&amp;query=any,contains,991001396399702656","Catalog Record")</f>
        <v>Catalog Record</v>
      </c>
      <c r="AT227" s="6" t="str">
        <f>HYPERLINK("http://www.worldcat.org/oclc/28802065","WorldCat Record")</f>
        <v>WorldCat Record</v>
      </c>
    </row>
    <row r="228" spans="1:46" ht="40.5" customHeight="1" x14ac:dyDescent="0.25">
      <c r="A228" s="8" t="s">
        <v>58</v>
      </c>
      <c r="B228" s="2" t="s">
        <v>2184</v>
      </c>
      <c r="C228" s="2" t="s">
        <v>2185</v>
      </c>
      <c r="D228" s="2" t="s">
        <v>2186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2187</v>
      </c>
      <c r="L228" s="2" t="s">
        <v>2188</v>
      </c>
      <c r="M228" s="3" t="s">
        <v>81</v>
      </c>
      <c r="N228" s="2" t="s">
        <v>936</v>
      </c>
      <c r="O228" s="3" t="s">
        <v>64</v>
      </c>
      <c r="P228" s="3" t="s">
        <v>112</v>
      </c>
      <c r="R228" s="3" t="s">
        <v>1346</v>
      </c>
      <c r="S228" s="4">
        <v>9</v>
      </c>
      <c r="T228" s="4">
        <v>9</v>
      </c>
      <c r="U228" s="5" t="s">
        <v>2189</v>
      </c>
      <c r="V228" s="5" t="s">
        <v>2189</v>
      </c>
      <c r="W228" s="5" t="s">
        <v>2130</v>
      </c>
      <c r="X228" s="5" t="s">
        <v>2130</v>
      </c>
      <c r="Y228" s="4">
        <v>112</v>
      </c>
      <c r="Z228" s="4">
        <v>67</v>
      </c>
      <c r="AA228" s="4">
        <v>229</v>
      </c>
      <c r="AB228" s="4">
        <v>1</v>
      </c>
      <c r="AC228" s="4">
        <v>1</v>
      </c>
      <c r="AD228" s="4">
        <v>1</v>
      </c>
      <c r="AE228" s="4">
        <v>6</v>
      </c>
      <c r="AF228" s="4">
        <v>1</v>
      </c>
      <c r="AG228" s="4">
        <v>3</v>
      </c>
      <c r="AH228" s="4">
        <v>0</v>
      </c>
      <c r="AI228" s="4">
        <v>3</v>
      </c>
      <c r="AJ228" s="4">
        <v>0</v>
      </c>
      <c r="AK228" s="4">
        <v>2</v>
      </c>
      <c r="AL228" s="4">
        <v>0</v>
      </c>
      <c r="AM228" s="4">
        <v>0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HYPERLINK("https://creighton-primo.hosted.exlibrisgroup.com/primo-explore/search?tab=default_tab&amp;search_scope=EVERYTHING&amp;vid=01CRU&amp;lang=en_US&amp;offset=0&amp;query=any,contains,991001097489702656","Catalog Record")</f>
        <v>Catalog Record</v>
      </c>
      <c r="AT228" s="6" t="str">
        <f>HYPERLINK("http://www.worldcat.org/oclc/7736884","WorldCat Record")</f>
        <v>WorldCat Record</v>
      </c>
    </row>
    <row r="229" spans="1:46" ht="40.5" customHeight="1" x14ac:dyDescent="0.25">
      <c r="A229" s="8" t="s">
        <v>58</v>
      </c>
      <c r="B229" s="2" t="s">
        <v>2190</v>
      </c>
      <c r="C229" s="2" t="s">
        <v>2191</v>
      </c>
      <c r="D229" s="2" t="s">
        <v>2192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2193</v>
      </c>
      <c r="L229" s="2" t="s">
        <v>2194</v>
      </c>
      <c r="M229" s="3" t="s">
        <v>95</v>
      </c>
      <c r="O229" s="3" t="s">
        <v>64</v>
      </c>
      <c r="P229" s="3" t="s">
        <v>112</v>
      </c>
      <c r="R229" s="3" t="s">
        <v>1346</v>
      </c>
      <c r="S229" s="4">
        <v>1</v>
      </c>
      <c r="T229" s="4">
        <v>1</v>
      </c>
      <c r="U229" s="5" t="s">
        <v>2195</v>
      </c>
      <c r="V229" s="5" t="s">
        <v>2195</v>
      </c>
      <c r="W229" s="5" t="s">
        <v>2196</v>
      </c>
      <c r="X229" s="5" t="s">
        <v>2196</v>
      </c>
      <c r="Y229" s="4">
        <v>146</v>
      </c>
      <c r="Z229" s="4">
        <v>83</v>
      </c>
      <c r="AA229" s="4">
        <v>88</v>
      </c>
      <c r="AB229" s="4">
        <v>1</v>
      </c>
      <c r="AC229" s="4">
        <v>1</v>
      </c>
      <c r="AD229" s="4">
        <v>5</v>
      </c>
      <c r="AE229" s="4">
        <v>5</v>
      </c>
      <c r="AF229" s="4">
        <v>1</v>
      </c>
      <c r="AG229" s="4">
        <v>1</v>
      </c>
      <c r="AH229" s="4">
        <v>0</v>
      </c>
      <c r="AI229" s="4">
        <v>0</v>
      </c>
      <c r="AJ229" s="4">
        <v>2</v>
      </c>
      <c r="AK229" s="4">
        <v>2</v>
      </c>
      <c r="AL229" s="4">
        <v>0</v>
      </c>
      <c r="AM229" s="4">
        <v>0</v>
      </c>
      <c r="AN229" s="4">
        <v>2</v>
      </c>
      <c r="AO229" s="4">
        <v>2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HYPERLINK("https://creighton-primo.hosted.exlibrisgroup.com/primo-explore/search?tab=default_tab&amp;search_scope=EVERYTHING&amp;vid=01CRU&amp;lang=en_US&amp;offset=0&amp;query=any,contains,991000336329702656","Catalog Record")</f>
        <v>Catalog Record</v>
      </c>
      <c r="AT229" s="6" t="str">
        <f>HYPERLINK("http://www.worldcat.org/oclc/48127583","WorldCat Record")</f>
        <v>WorldCat Record</v>
      </c>
    </row>
    <row r="230" spans="1:46" ht="40.5" customHeight="1" x14ac:dyDescent="0.25">
      <c r="A230" s="8" t="s">
        <v>58</v>
      </c>
      <c r="B230" s="2" t="s">
        <v>2197</v>
      </c>
      <c r="C230" s="2" t="s">
        <v>2198</v>
      </c>
      <c r="D230" s="2" t="s">
        <v>2199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2200</v>
      </c>
      <c r="L230" s="2" t="s">
        <v>2201</v>
      </c>
      <c r="M230" s="3" t="s">
        <v>2202</v>
      </c>
      <c r="O230" s="3" t="s">
        <v>64</v>
      </c>
      <c r="P230" s="3" t="s">
        <v>1406</v>
      </c>
      <c r="R230" s="3" t="s">
        <v>1346</v>
      </c>
      <c r="S230" s="4">
        <v>0</v>
      </c>
      <c r="T230" s="4">
        <v>0</v>
      </c>
      <c r="U230" s="5" t="s">
        <v>2203</v>
      </c>
      <c r="V230" s="5" t="s">
        <v>2203</v>
      </c>
      <c r="W230" s="5" t="s">
        <v>2204</v>
      </c>
      <c r="X230" s="5" t="s">
        <v>2204</v>
      </c>
      <c r="Y230" s="4">
        <v>175</v>
      </c>
      <c r="Z230" s="4">
        <v>137</v>
      </c>
      <c r="AA230" s="4">
        <v>388</v>
      </c>
      <c r="AB230" s="4">
        <v>1</v>
      </c>
      <c r="AC230" s="4">
        <v>2</v>
      </c>
      <c r="AD230" s="4">
        <v>5</v>
      </c>
      <c r="AE230" s="4">
        <v>17</v>
      </c>
      <c r="AF230" s="4">
        <v>3</v>
      </c>
      <c r="AG230" s="4">
        <v>9</v>
      </c>
      <c r="AH230" s="4">
        <v>1</v>
      </c>
      <c r="AI230" s="4">
        <v>3</v>
      </c>
      <c r="AJ230" s="4">
        <v>3</v>
      </c>
      <c r="AK230" s="4">
        <v>8</v>
      </c>
      <c r="AL230" s="4">
        <v>0</v>
      </c>
      <c r="AM230" s="4">
        <v>1</v>
      </c>
      <c r="AN230" s="4">
        <v>0</v>
      </c>
      <c r="AO230" s="4">
        <v>0</v>
      </c>
      <c r="AP230" s="3" t="s">
        <v>58</v>
      </c>
      <c r="AQ230" s="3" t="s">
        <v>115</v>
      </c>
      <c r="AR230" s="6" t="str">
        <f>HYPERLINK("http://catalog.hathitrust.org/Record/004068834","HathiTrust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HYPERLINK("https://creighton-primo.hosted.exlibrisgroup.com/primo-explore/search?tab=default_tab&amp;search_scope=EVERYTHING&amp;vid=01CRU&amp;lang=en_US&amp;offset=0&amp;query=any,contains,991000318459702656","Catalog Record")</f>
        <v>Catalog Record</v>
      </c>
      <c r="AT230" s="6" t="str">
        <f>HYPERLINK("http://www.worldcat.org/oclc/42621166","WorldCat Record")</f>
        <v>WorldCat Record</v>
      </c>
    </row>
    <row r="231" spans="1:46" ht="40.5" customHeight="1" x14ac:dyDescent="0.25">
      <c r="A231" s="8" t="s">
        <v>58</v>
      </c>
      <c r="B231" s="2" t="s">
        <v>2205</v>
      </c>
      <c r="C231" s="2" t="s">
        <v>2206</v>
      </c>
      <c r="D231" s="2" t="s">
        <v>2207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2208</v>
      </c>
      <c r="M231" s="3" t="s">
        <v>892</v>
      </c>
      <c r="N231" s="2" t="s">
        <v>936</v>
      </c>
      <c r="O231" s="3" t="s">
        <v>64</v>
      </c>
      <c r="P231" s="3" t="s">
        <v>144</v>
      </c>
      <c r="R231" s="3" t="s">
        <v>1346</v>
      </c>
      <c r="S231" s="4">
        <v>13</v>
      </c>
      <c r="T231" s="4">
        <v>13</v>
      </c>
      <c r="U231" s="5" t="s">
        <v>2209</v>
      </c>
      <c r="V231" s="5" t="s">
        <v>2209</v>
      </c>
      <c r="W231" s="5" t="s">
        <v>2210</v>
      </c>
      <c r="X231" s="5" t="s">
        <v>2210</v>
      </c>
      <c r="Y231" s="4">
        <v>110</v>
      </c>
      <c r="Z231" s="4">
        <v>89</v>
      </c>
      <c r="AA231" s="4">
        <v>227</v>
      </c>
      <c r="AB231" s="4">
        <v>1</v>
      </c>
      <c r="AC231" s="4">
        <v>2</v>
      </c>
      <c r="AD231" s="4">
        <v>2</v>
      </c>
      <c r="AE231" s="4">
        <v>7</v>
      </c>
      <c r="AF231" s="4">
        <v>1</v>
      </c>
      <c r="AG231" s="4">
        <v>4</v>
      </c>
      <c r="AH231" s="4">
        <v>0</v>
      </c>
      <c r="AI231" s="4">
        <v>1</v>
      </c>
      <c r="AJ231" s="4">
        <v>1</v>
      </c>
      <c r="AK231" s="4">
        <v>3</v>
      </c>
      <c r="AL231" s="4">
        <v>0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115</v>
      </c>
      <c r="AR231" s="6" t="str">
        <f>HYPERLINK("http://catalog.hathitrust.org/Record/003973057","HathiTrust Record")</f>
        <v>HathiTrust Record</v>
      </c>
      <c r="AS231" s="6" t="str">
        <f>HYPERLINK("https://creighton-primo.hosted.exlibrisgroup.com/primo-explore/search?tab=default_tab&amp;search_scope=EVERYTHING&amp;vid=01CRU&amp;lang=en_US&amp;offset=0&amp;query=any,contains,991000485609702656","Catalog Record")</f>
        <v>Catalog Record</v>
      </c>
      <c r="AT231" s="6" t="str">
        <f>HYPERLINK("http://www.worldcat.org/oclc/37513083","WorldCat Record")</f>
        <v>WorldCat Record</v>
      </c>
    </row>
    <row r="232" spans="1:46" ht="40.5" customHeight="1" x14ac:dyDescent="0.25">
      <c r="A232" s="8" t="s">
        <v>58</v>
      </c>
      <c r="B232" s="2" t="s">
        <v>2211</v>
      </c>
      <c r="C232" s="2" t="s">
        <v>2212</v>
      </c>
      <c r="D232" s="2" t="s">
        <v>2213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L232" s="2" t="s">
        <v>2214</v>
      </c>
      <c r="M232" s="3" t="s">
        <v>1511</v>
      </c>
      <c r="O232" s="3" t="s">
        <v>64</v>
      </c>
      <c r="P232" s="3" t="s">
        <v>1355</v>
      </c>
      <c r="Q232" s="2" t="s">
        <v>2215</v>
      </c>
      <c r="R232" s="3" t="s">
        <v>1346</v>
      </c>
      <c r="S232" s="4">
        <v>16</v>
      </c>
      <c r="T232" s="4">
        <v>16</v>
      </c>
      <c r="U232" s="5" t="s">
        <v>2216</v>
      </c>
      <c r="V232" s="5" t="s">
        <v>2216</v>
      </c>
      <c r="W232" s="5" t="s">
        <v>1755</v>
      </c>
      <c r="X232" s="5" t="s">
        <v>1755</v>
      </c>
      <c r="Y232" s="4">
        <v>88</v>
      </c>
      <c r="Z232" s="4">
        <v>71</v>
      </c>
      <c r="AA232" s="4">
        <v>78</v>
      </c>
      <c r="AB232" s="4">
        <v>1</v>
      </c>
      <c r="AC232" s="4">
        <v>1</v>
      </c>
      <c r="AD232" s="4">
        <v>1</v>
      </c>
      <c r="AE232" s="4">
        <v>1</v>
      </c>
      <c r="AF232" s="4">
        <v>0</v>
      </c>
      <c r="AG232" s="4">
        <v>0</v>
      </c>
      <c r="AH232" s="4">
        <v>0</v>
      </c>
      <c r="AI232" s="4">
        <v>0</v>
      </c>
      <c r="AJ232" s="4">
        <v>1</v>
      </c>
      <c r="AK232" s="4">
        <v>1</v>
      </c>
      <c r="AL232" s="4">
        <v>0</v>
      </c>
      <c r="AM232" s="4">
        <v>0</v>
      </c>
      <c r="AN232" s="4">
        <v>0</v>
      </c>
      <c r="AO232" s="4">
        <v>0</v>
      </c>
      <c r="AP232" s="3" t="s">
        <v>58</v>
      </c>
      <c r="AQ232" s="3" t="s">
        <v>115</v>
      </c>
      <c r="AR232" s="6" t="str">
        <f>HYPERLINK("http://catalog.hathitrust.org/Record/001537194","HathiTrust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HYPERLINK("https://creighton-primo.hosted.exlibrisgroup.com/primo-explore/search?tab=default_tab&amp;search_scope=EVERYTHING&amp;vid=01CRU&amp;lang=en_US&amp;offset=0&amp;query=any,contains,991001367009702656","Catalog Record")</f>
        <v>Catalog Record</v>
      </c>
      <c r="AT232" s="6" t="str">
        <f>HYPERLINK("http://www.worldcat.org/oclc/19264310","WorldCat Record")</f>
        <v>WorldCat Record</v>
      </c>
    </row>
    <row r="233" spans="1:46" ht="40.5" customHeight="1" x14ac:dyDescent="0.25">
      <c r="A233" s="8" t="s">
        <v>58</v>
      </c>
      <c r="B233" s="2" t="s">
        <v>2217</v>
      </c>
      <c r="C233" s="2" t="s">
        <v>2218</v>
      </c>
      <c r="D233" s="2" t="s">
        <v>2219</v>
      </c>
      <c r="E233" s="3" t="s">
        <v>492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L233" s="2" t="s">
        <v>2220</v>
      </c>
      <c r="M233" s="3" t="s">
        <v>1122</v>
      </c>
      <c r="O233" s="3" t="s">
        <v>64</v>
      </c>
      <c r="P233" s="3" t="s">
        <v>112</v>
      </c>
      <c r="Q233" s="2" t="s">
        <v>2221</v>
      </c>
      <c r="R233" s="3" t="s">
        <v>1346</v>
      </c>
      <c r="S233" s="4">
        <v>5</v>
      </c>
      <c r="T233" s="4">
        <v>5</v>
      </c>
      <c r="U233" s="5" t="s">
        <v>2222</v>
      </c>
      <c r="V233" s="5" t="s">
        <v>2222</v>
      </c>
      <c r="W233" s="5" t="s">
        <v>2222</v>
      </c>
      <c r="X233" s="5" t="s">
        <v>2222</v>
      </c>
      <c r="Y233" s="4">
        <v>19</v>
      </c>
      <c r="Z233" s="4">
        <v>8</v>
      </c>
      <c r="AA233" s="4">
        <v>93</v>
      </c>
      <c r="AB233" s="4">
        <v>1</v>
      </c>
      <c r="AC233" s="4">
        <v>1</v>
      </c>
      <c r="AD233" s="4">
        <v>0</v>
      </c>
      <c r="AE233" s="4">
        <v>5</v>
      </c>
      <c r="AF233" s="4">
        <v>0</v>
      </c>
      <c r="AG233" s="4">
        <v>3</v>
      </c>
      <c r="AH233" s="4">
        <v>0</v>
      </c>
      <c r="AI233" s="4">
        <v>3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3" t="s">
        <v>58</v>
      </c>
      <c r="AQ233" s="3" t="s">
        <v>115</v>
      </c>
      <c r="AR233" s="6" t="str">
        <f>HYPERLINK("http://catalog.hathitrust.org/Record/002060430","HathiTrust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HYPERLINK("https://creighton-primo.hosted.exlibrisgroup.com/primo-explore/search?tab=default_tab&amp;search_scope=EVERYTHING&amp;vid=01CRU&amp;lang=en_US&amp;offset=0&amp;query=any,contains,991001452799702656","Catalog Record")</f>
        <v>Catalog Record</v>
      </c>
      <c r="AT233" s="6" t="str">
        <f>HYPERLINK("http://www.worldcat.org/oclc/19399895","WorldCat Record")</f>
        <v>WorldCat Record</v>
      </c>
    </row>
    <row r="234" spans="1:46" ht="40.5" customHeight="1" x14ac:dyDescent="0.25">
      <c r="A234" s="8" t="s">
        <v>58</v>
      </c>
      <c r="B234" s="2" t="s">
        <v>2223</v>
      </c>
      <c r="C234" s="2" t="s">
        <v>2224</v>
      </c>
      <c r="D234" s="2" t="s">
        <v>2225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2226</v>
      </c>
      <c r="L234" s="2" t="s">
        <v>2227</v>
      </c>
      <c r="M234" s="3" t="s">
        <v>111</v>
      </c>
      <c r="O234" s="3" t="s">
        <v>64</v>
      </c>
      <c r="P234" s="3" t="s">
        <v>65</v>
      </c>
      <c r="Q234" s="2" t="s">
        <v>2228</v>
      </c>
      <c r="R234" s="3" t="s">
        <v>1346</v>
      </c>
      <c r="S234" s="4">
        <v>44</v>
      </c>
      <c r="T234" s="4">
        <v>44</v>
      </c>
      <c r="U234" s="5" t="s">
        <v>2229</v>
      </c>
      <c r="V234" s="5" t="s">
        <v>2229</v>
      </c>
      <c r="W234" s="5" t="s">
        <v>2230</v>
      </c>
      <c r="X234" s="5" t="s">
        <v>2230</v>
      </c>
      <c r="Y234" s="4">
        <v>204</v>
      </c>
      <c r="Z234" s="4">
        <v>126</v>
      </c>
      <c r="AA234" s="4">
        <v>257</v>
      </c>
      <c r="AB234" s="4">
        <v>2</v>
      </c>
      <c r="AC234" s="4">
        <v>2</v>
      </c>
      <c r="AD234" s="4">
        <v>3</v>
      </c>
      <c r="AE234" s="4">
        <v>5</v>
      </c>
      <c r="AF234" s="4">
        <v>0</v>
      </c>
      <c r="AG234" s="4">
        <v>2</v>
      </c>
      <c r="AH234" s="4">
        <v>2</v>
      </c>
      <c r="AI234" s="4">
        <v>3</v>
      </c>
      <c r="AJ234" s="4">
        <v>0</v>
      </c>
      <c r="AK234" s="4">
        <v>0</v>
      </c>
      <c r="AL234" s="4">
        <v>1</v>
      </c>
      <c r="AM234" s="4">
        <v>1</v>
      </c>
      <c r="AN234" s="4">
        <v>0</v>
      </c>
      <c r="AO234" s="4">
        <v>0</v>
      </c>
      <c r="AP234" s="3" t="s">
        <v>58</v>
      </c>
      <c r="AQ234" s="3" t="s">
        <v>115</v>
      </c>
      <c r="AR234" s="6" t="str">
        <f>HYPERLINK("http://catalog.hathitrust.org/Record/000685698","HathiTrust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HYPERLINK("https://creighton-primo.hosted.exlibrisgroup.com/primo-explore/search?tab=default_tab&amp;search_scope=EVERYTHING&amp;vid=01CRU&amp;lang=en_US&amp;offset=0&amp;query=any,contains,991000952139702656","Catalog Record")</f>
        <v>Catalog Record</v>
      </c>
      <c r="AT234" s="6" t="str">
        <f>HYPERLINK("http://www.worldcat.org/oclc/1916715","WorldCat Record")</f>
        <v>WorldCat Record</v>
      </c>
    </row>
    <row r="235" spans="1:46" ht="40.5" customHeight="1" x14ac:dyDescent="0.25">
      <c r="A235" s="8" t="s">
        <v>58</v>
      </c>
      <c r="B235" s="2" t="s">
        <v>2231</v>
      </c>
      <c r="C235" s="2" t="s">
        <v>2232</v>
      </c>
      <c r="D235" s="2" t="s">
        <v>2233</v>
      </c>
      <c r="F235" s="3" t="s">
        <v>58</v>
      </c>
      <c r="G235" s="3" t="s">
        <v>59</v>
      </c>
      <c r="H235" s="3" t="s">
        <v>58</v>
      </c>
      <c r="I235" s="3" t="s">
        <v>115</v>
      </c>
      <c r="J235" s="3" t="s">
        <v>60</v>
      </c>
      <c r="K235" s="2" t="s">
        <v>2234</v>
      </c>
      <c r="L235" s="2" t="s">
        <v>2235</v>
      </c>
      <c r="M235" s="3" t="s">
        <v>408</v>
      </c>
      <c r="O235" s="3" t="s">
        <v>64</v>
      </c>
      <c r="P235" s="3" t="s">
        <v>112</v>
      </c>
      <c r="R235" s="3" t="s">
        <v>1346</v>
      </c>
      <c r="S235" s="4">
        <v>12</v>
      </c>
      <c r="T235" s="4">
        <v>12</v>
      </c>
      <c r="U235" s="5" t="s">
        <v>2236</v>
      </c>
      <c r="V235" s="5" t="s">
        <v>2236</v>
      </c>
      <c r="W235" s="5" t="s">
        <v>2237</v>
      </c>
      <c r="X235" s="5" t="s">
        <v>2237</v>
      </c>
      <c r="Y235" s="4">
        <v>267</v>
      </c>
      <c r="Z235" s="4">
        <v>171</v>
      </c>
      <c r="AA235" s="4">
        <v>277</v>
      </c>
      <c r="AB235" s="4">
        <v>2</v>
      </c>
      <c r="AC235" s="4">
        <v>2</v>
      </c>
      <c r="AD235" s="4">
        <v>6</v>
      </c>
      <c r="AE235" s="4">
        <v>13</v>
      </c>
      <c r="AF235" s="4">
        <v>3</v>
      </c>
      <c r="AG235" s="4">
        <v>8</v>
      </c>
      <c r="AH235" s="4">
        <v>2</v>
      </c>
      <c r="AI235" s="4">
        <v>3</v>
      </c>
      <c r="AJ235" s="4">
        <v>2</v>
      </c>
      <c r="AK235" s="4">
        <v>6</v>
      </c>
      <c r="AL235" s="4">
        <v>0</v>
      </c>
      <c r="AM235" s="4">
        <v>0</v>
      </c>
      <c r="AN235" s="4">
        <v>0</v>
      </c>
      <c r="AO235" s="4">
        <v>0</v>
      </c>
      <c r="AP235" s="3" t="s">
        <v>58</v>
      </c>
      <c r="AQ235" s="3" t="s">
        <v>115</v>
      </c>
      <c r="AR235" s="6" t="str">
        <f>HYPERLINK("http://catalog.hathitrust.org/Record/000624653","HathiTrust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HYPERLINK("https://creighton-primo.hosted.exlibrisgroup.com/primo-explore/search?tab=default_tab&amp;search_scope=EVERYTHING&amp;vid=01CRU&amp;lang=en_US&amp;offset=0&amp;query=any,contains,991001486789702656","Catalog Record")</f>
        <v>Catalog Record</v>
      </c>
      <c r="AT235" s="6" t="str">
        <f>HYPERLINK("http://www.worldcat.org/oclc/12313526","WorldCat Record")</f>
        <v>WorldCat Record</v>
      </c>
    </row>
    <row r="236" spans="1:46" ht="40.5" customHeight="1" x14ac:dyDescent="0.25">
      <c r="A236" s="8" t="s">
        <v>58</v>
      </c>
      <c r="B236" s="2" t="s">
        <v>2238</v>
      </c>
      <c r="C236" s="2" t="s">
        <v>2239</v>
      </c>
      <c r="D236" s="2" t="s">
        <v>2240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L236" s="2" t="s">
        <v>2241</v>
      </c>
      <c r="M236" s="3" t="s">
        <v>1392</v>
      </c>
      <c r="O236" s="3" t="s">
        <v>64</v>
      </c>
      <c r="P236" s="3" t="s">
        <v>65</v>
      </c>
      <c r="R236" s="3" t="s">
        <v>1346</v>
      </c>
      <c r="S236" s="4">
        <v>16</v>
      </c>
      <c r="T236" s="4">
        <v>16</v>
      </c>
      <c r="U236" s="5" t="s">
        <v>601</v>
      </c>
      <c r="V236" s="5" t="s">
        <v>601</v>
      </c>
      <c r="W236" s="5" t="s">
        <v>2130</v>
      </c>
      <c r="X236" s="5" t="s">
        <v>2130</v>
      </c>
      <c r="Y236" s="4">
        <v>138</v>
      </c>
      <c r="Z236" s="4">
        <v>93</v>
      </c>
      <c r="AA236" s="4">
        <v>95</v>
      </c>
      <c r="AB236" s="4">
        <v>1</v>
      </c>
      <c r="AC236" s="4">
        <v>1</v>
      </c>
      <c r="AD236" s="4">
        <v>1</v>
      </c>
      <c r="AE236" s="4">
        <v>1</v>
      </c>
      <c r="AF236" s="4">
        <v>1</v>
      </c>
      <c r="AG236" s="4">
        <v>1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3" t="s">
        <v>58</v>
      </c>
      <c r="AQ236" s="3" t="s">
        <v>115</v>
      </c>
      <c r="AR236" s="6" t="str">
        <f>HYPERLINK("http://catalog.hathitrust.org/Record/000242473","HathiTrust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HYPERLINK("https://creighton-primo.hosted.exlibrisgroup.com/primo-explore/search?tab=default_tab&amp;search_scope=EVERYTHING&amp;vid=01CRU&amp;lang=en_US&amp;offset=0&amp;query=any,contains,991000952509702656","Catalog Record")</f>
        <v>Catalog Record</v>
      </c>
      <c r="AT236" s="6" t="str">
        <f>HYPERLINK("http://www.worldcat.org/oclc/10273601","WorldCat Record")</f>
        <v>WorldCat Record</v>
      </c>
    </row>
    <row r="237" spans="1:46" ht="40.5" customHeight="1" x14ac:dyDescent="0.25">
      <c r="A237" s="8" t="s">
        <v>58</v>
      </c>
      <c r="B237" s="2" t="s">
        <v>2242</v>
      </c>
      <c r="C237" s="2" t="s">
        <v>2243</v>
      </c>
      <c r="D237" s="2" t="s">
        <v>2244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2245</v>
      </c>
      <c r="L237" s="2" t="s">
        <v>2246</v>
      </c>
      <c r="M237" s="3" t="s">
        <v>408</v>
      </c>
      <c r="N237" s="2" t="s">
        <v>1362</v>
      </c>
      <c r="O237" s="3" t="s">
        <v>64</v>
      </c>
      <c r="P237" s="3" t="s">
        <v>1355</v>
      </c>
      <c r="R237" s="3" t="s">
        <v>1346</v>
      </c>
      <c r="S237" s="4">
        <v>15</v>
      </c>
      <c r="T237" s="4">
        <v>15</v>
      </c>
      <c r="U237" s="5" t="s">
        <v>441</v>
      </c>
      <c r="V237" s="5" t="s">
        <v>441</v>
      </c>
      <c r="W237" s="5" t="s">
        <v>2247</v>
      </c>
      <c r="X237" s="5" t="s">
        <v>2247</v>
      </c>
      <c r="Y237" s="4">
        <v>327</v>
      </c>
      <c r="Z237" s="4">
        <v>241</v>
      </c>
      <c r="AA237" s="4">
        <v>321</v>
      </c>
      <c r="AB237" s="4">
        <v>1</v>
      </c>
      <c r="AC237" s="4">
        <v>2</v>
      </c>
      <c r="AD237" s="4">
        <v>4</v>
      </c>
      <c r="AE237" s="4">
        <v>4</v>
      </c>
      <c r="AF237" s="4">
        <v>1</v>
      </c>
      <c r="AG237" s="4">
        <v>1</v>
      </c>
      <c r="AH237" s="4">
        <v>1</v>
      </c>
      <c r="AI237" s="4">
        <v>1</v>
      </c>
      <c r="AJ237" s="4">
        <v>2</v>
      </c>
      <c r="AK237" s="4">
        <v>2</v>
      </c>
      <c r="AL237" s="4">
        <v>0</v>
      </c>
      <c r="AM237" s="4">
        <v>0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HYPERLINK("https://creighton-primo.hosted.exlibrisgroup.com/primo-explore/search?tab=default_tab&amp;search_scope=EVERYTHING&amp;vid=01CRU&amp;lang=en_US&amp;offset=0&amp;query=any,contains,991000747659702656","Catalog Record")</f>
        <v>Catalog Record</v>
      </c>
      <c r="AT237" s="6" t="str">
        <f>HYPERLINK("http://www.worldcat.org/oclc/11090172","WorldCat Record")</f>
        <v>WorldCat Record</v>
      </c>
    </row>
    <row r="238" spans="1:46" ht="40.5" customHeight="1" x14ac:dyDescent="0.25">
      <c r="A238" s="8" t="s">
        <v>58</v>
      </c>
      <c r="B238" s="2" t="s">
        <v>2248</v>
      </c>
      <c r="C238" s="2" t="s">
        <v>2249</v>
      </c>
      <c r="D238" s="2" t="s">
        <v>2250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L238" s="2" t="s">
        <v>2251</v>
      </c>
      <c r="M238" s="3" t="s">
        <v>380</v>
      </c>
      <c r="O238" s="3" t="s">
        <v>64</v>
      </c>
      <c r="P238" s="3" t="s">
        <v>613</v>
      </c>
      <c r="Q238" s="2" t="s">
        <v>657</v>
      </c>
      <c r="R238" s="3" t="s">
        <v>1346</v>
      </c>
      <c r="S238" s="4">
        <v>5</v>
      </c>
      <c r="T238" s="4">
        <v>5</v>
      </c>
      <c r="U238" s="5" t="s">
        <v>2252</v>
      </c>
      <c r="V238" s="5" t="s">
        <v>2252</v>
      </c>
      <c r="W238" s="5" t="s">
        <v>1778</v>
      </c>
      <c r="X238" s="5" t="s">
        <v>1778</v>
      </c>
      <c r="Y238" s="4">
        <v>123</v>
      </c>
      <c r="Z238" s="4">
        <v>82</v>
      </c>
      <c r="AA238" s="4">
        <v>83</v>
      </c>
      <c r="AB238" s="4">
        <v>1</v>
      </c>
      <c r="AC238" s="4">
        <v>1</v>
      </c>
      <c r="AD238" s="4">
        <v>3</v>
      </c>
      <c r="AE238" s="4">
        <v>3</v>
      </c>
      <c r="AF238" s="4">
        <v>2</v>
      </c>
      <c r="AG238" s="4">
        <v>2</v>
      </c>
      <c r="AH238" s="4">
        <v>1</v>
      </c>
      <c r="AI238" s="4">
        <v>1</v>
      </c>
      <c r="AJ238" s="4">
        <v>1</v>
      </c>
      <c r="AK238" s="4">
        <v>1</v>
      </c>
      <c r="AL238" s="4">
        <v>0</v>
      </c>
      <c r="AM238" s="4">
        <v>0</v>
      </c>
      <c r="AN238" s="4">
        <v>0</v>
      </c>
      <c r="AO238" s="4">
        <v>0</v>
      </c>
      <c r="AP238" s="3" t="s">
        <v>58</v>
      </c>
      <c r="AQ238" s="3" t="s">
        <v>58</v>
      </c>
      <c r="AS238" s="6" t="str">
        <f>HYPERLINK("https://creighton-primo.hosted.exlibrisgroup.com/primo-explore/search?tab=default_tab&amp;search_scope=EVERYTHING&amp;vid=01CRU&amp;lang=en_US&amp;offset=0&amp;query=any,contains,991001512099702656","Catalog Record")</f>
        <v>Catalog Record</v>
      </c>
      <c r="AT238" s="6" t="str">
        <f>HYPERLINK("http://www.worldcat.org/oclc/26098903","WorldCat Record")</f>
        <v>WorldCat Record</v>
      </c>
    </row>
    <row r="239" spans="1:46" ht="40.5" customHeight="1" x14ac:dyDescent="0.25">
      <c r="A239" s="8" t="s">
        <v>58</v>
      </c>
      <c r="B239" s="2" t="s">
        <v>2253</v>
      </c>
      <c r="C239" s="2" t="s">
        <v>2254</v>
      </c>
      <c r="D239" s="2" t="s">
        <v>2255</v>
      </c>
      <c r="F239" s="3" t="s">
        <v>58</v>
      </c>
      <c r="G239" s="3" t="s">
        <v>59</v>
      </c>
      <c r="H239" s="3" t="s">
        <v>58</v>
      </c>
      <c r="I239" s="3" t="s">
        <v>115</v>
      </c>
      <c r="J239" s="3" t="s">
        <v>60</v>
      </c>
      <c r="L239" s="2" t="s">
        <v>2256</v>
      </c>
      <c r="M239" s="3" t="s">
        <v>365</v>
      </c>
      <c r="O239" s="3" t="s">
        <v>64</v>
      </c>
      <c r="P239" s="3" t="s">
        <v>112</v>
      </c>
      <c r="R239" s="3" t="s">
        <v>1346</v>
      </c>
      <c r="S239" s="4">
        <v>29</v>
      </c>
      <c r="T239" s="4">
        <v>29</v>
      </c>
      <c r="U239" s="5" t="s">
        <v>2257</v>
      </c>
      <c r="V239" s="5" t="s">
        <v>2257</v>
      </c>
      <c r="W239" s="5" t="s">
        <v>2258</v>
      </c>
      <c r="X239" s="5" t="s">
        <v>2258</v>
      </c>
      <c r="Y239" s="4">
        <v>129</v>
      </c>
      <c r="Z239" s="4">
        <v>57</v>
      </c>
      <c r="AA239" s="4">
        <v>226</v>
      </c>
      <c r="AB239" s="4">
        <v>1</v>
      </c>
      <c r="AC239" s="4">
        <v>1</v>
      </c>
      <c r="AD239" s="4">
        <v>4</v>
      </c>
      <c r="AE239" s="4">
        <v>11</v>
      </c>
      <c r="AF239" s="4">
        <v>2</v>
      </c>
      <c r="AG239" s="4">
        <v>4</v>
      </c>
      <c r="AH239" s="4">
        <v>2</v>
      </c>
      <c r="AI239" s="4">
        <v>3</v>
      </c>
      <c r="AJ239" s="4">
        <v>1</v>
      </c>
      <c r="AK239" s="4">
        <v>5</v>
      </c>
      <c r="AL239" s="4">
        <v>0</v>
      </c>
      <c r="AM239" s="4">
        <v>0</v>
      </c>
      <c r="AN239" s="4">
        <v>0</v>
      </c>
      <c r="AO239" s="4">
        <v>0</v>
      </c>
      <c r="AP239" s="3" t="s">
        <v>58</v>
      </c>
      <c r="AQ239" s="3" t="s">
        <v>115</v>
      </c>
      <c r="AR239" s="6" t="str">
        <f>HYPERLINK("http://catalog.hathitrust.org/Record/003166120","HathiTrust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HYPERLINK("https://creighton-primo.hosted.exlibrisgroup.com/primo-explore/search?tab=default_tab&amp;search_scope=EVERYTHING&amp;vid=01CRU&amp;lang=en_US&amp;offset=0&amp;query=any,contains,991001559389702656","Catalog Record")</f>
        <v>Catalog Record</v>
      </c>
      <c r="AT239" s="6" t="str">
        <f>HYPERLINK("http://www.worldcat.org/oclc/37732035","WorldCat Record")</f>
        <v>WorldCat Record</v>
      </c>
    </row>
    <row r="240" spans="1:46" ht="40.5" customHeight="1" x14ac:dyDescent="0.25">
      <c r="A240" s="8" t="s">
        <v>58</v>
      </c>
      <c r="B240" s="2" t="s">
        <v>2259</v>
      </c>
      <c r="C240" s="2" t="s">
        <v>2260</v>
      </c>
      <c r="D240" s="2" t="s">
        <v>2261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2262</v>
      </c>
      <c r="L240" s="2" t="s">
        <v>2263</v>
      </c>
      <c r="M240" s="3" t="s">
        <v>907</v>
      </c>
      <c r="N240" s="2" t="s">
        <v>143</v>
      </c>
      <c r="O240" s="3" t="s">
        <v>64</v>
      </c>
      <c r="P240" s="3" t="s">
        <v>1406</v>
      </c>
      <c r="R240" s="3" t="s">
        <v>1346</v>
      </c>
      <c r="S240" s="4">
        <v>1</v>
      </c>
      <c r="T240" s="4">
        <v>1</v>
      </c>
      <c r="U240" s="5" t="s">
        <v>2264</v>
      </c>
      <c r="V240" s="5" t="s">
        <v>2264</v>
      </c>
      <c r="W240" s="5" t="s">
        <v>2265</v>
      </c>
      <c r="X240" s="5" t="s">
        <v>2265</v>
      </c>
      <c r="Y240" s="4">
        <v>166</v>
      </c>
      <c r="Z240" s="4">
        <v>133</v>
      </c>
      <c r="AA240" s="4">
        <v>212</v>
      </c>
      <c r="AB240" s="4">
        <v>2</v>
      </c>
      <c r="AC240" s="4">
        <v>2</v>
      </c>
      <c r="AD240" s="4">
        <v>1</v>
      </c>
      <c r="AE240" s="4">
        <v>1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1</v>
      </c>
      <c r="AM240" s="4">
        <v>1</v>
      </c>
      <c r="AN240" s="4">
        <v>0</v>
      </c>
      <c r="AO240" s="4">
        <v>0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HYPERLINK("https://creighton-primo.hosted.exlibrisgroup.com/primo-explore/search?tab=default_tab&amp;search_scope=EVERYTHING&amp;vid=01CRU&amp;lang=en_US&amp;offset=0&amp;query=any,contains,991001743169702656","Catalog Record")</f>
        <v>Catalog Record</v>
      </c>
      <c r="AT240" s="6" t="str">
        <f>HYPERLINK("http://www.worldcat.org/oclc/62234893","WorldCat Record")</f>
        <v>WorldCat Record</v>
      </c>
    </row>
    <row r="241" spans="1:46" ht="40.5" customHeight="1" x14ac:dyDescent="0.25">
      <c r="A241" s="8" t="s">
        <v>58</v>
      </c>
      <c r="B241" s="2" t="s">
        <v>2266</v>
      </c>
      <c r="C241" s="2" t="s">
        <v>2267</v>
      </c>
      <c r="D241" s="2" t="s">
        <v>2268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L241" s="2" t="s">
        <v>2269</v>
      </c>
      <c r="M241" s="3" t="s">
        <v>380</v>
      </c>
      <c r="O241" s="3" t="s">
        <v>64</v>
      </c>
      <c r="P241" s="3" t="s">
        <v>65</v>
      </c>
      <c r="R241" s="3" t="s">
        <v>1346</v>
      </c>
      <c r="S241" s="4">
        <v>20</v>
      </c>
      <c r="T241" s="4">
        <v>20</v>
      </c>
      <c r="U241" s="5" t="s">
        <v>2270</v>
      </c>
      <c r="V241" s="5" t="s">
        <v>2270</v>
      </c>
      <c r="W241" s="5" t="s">
        <v>2271</v>
      </c>
      <c r="X241" s="5" t="s">
        <v>2271</v>
      </c>
      <c r="Y241" s="4">
        <v>208</v>
      </c>
      <c r="Z241" s="4">
        <v>195</v>
      </c>
      <c r="AA241" s="4">
        <v>195</v>
      </c>
      <c r="AB241" s="4">
        <v>2</v>
      </c>
      <c r="AC241" s="4">
        <v>2</v>
      </c>
      <c r="AD241" s="4">
        <v>1</v>
      </c>
      <c r="AE241" s="4">
        <v>1</v>
      </c>
      <c r="AF241" s="4">
        <v>0</v>
      </c>
      <c r="AG241" s="4">
        <v>0</v>
      </c>
      <c r="AH241" s="4">
        <v>1</v>
      </c>
      <c r="AI241" s="4">
        <v>1</v>
      </c>
      <c r="AJ241" s="4">
        <v>1</v>
      </c>
      <c r="AK241" s="4">
        <v>1</v>
      </c>
      <c r="AL241" s="4">
        <v>0</v>
      </c>
      <c r="AM241" s="4">
        <v>0</v>
      </c>
      <c r="AN241" s="4">
        <v>0</v>
      </c>
      <c r="AO241" s="4">
        <v>0</v>
      </c>
      <c r="AP241" s="3" t="s">
        <v>58</v>
      </c>
      <c r="AQ241" s="3" t="s">
        <v>58</v>
      </c>
      <c r="AS241" s="6" t="str">
        <f>HYPERLINK("https://creighton-primo.hosted.exlibrisgroup.com/primo-explore/search?tab=default_tab&amp;search_scope=EVERYTHING&amp;vid=01CRU&amp;lang=en_US&amp;offset=0&amp;query=any,contains,991000552829702656","Catalog Record")</f>
        <v>Catalog Record</v>
      </c>
      <c r="AT241" s="6" t="str">
        <f>HYPERLINK("http://www.worldcat.org/oclc/27812393","WorldCat Record")</f>
        <v>WorldCat Record</v>
      </c>
    </row>
    <row r="242" spans="1:46" ht="40.5" customHeight="1" x14ac:dyDescent="0.25">
      <c r="A242" s="8" t="s">
        <v>58</v>
      </c>
      <c r="B242" s="2" t="s">
        <v>2272</v>
      </c>
      <c r="C242" s="2" t="s">
        <v>2273</v>
      </c>
      <c r="D242" s="2" t="s">
        <v>2274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2275</v>
      </c>
      <c r="L242" s="2" t="s">
        <v>2276</v>
      </c>
      <c r="M242" s="3" t="s">
        <v>1177</v>
      </c>
      <c r="O242" s="3" t="s">
        <v>64</v>
      </c>
      <c r="P242" s="3" t="s">
        <v>1355</v>
      </c>
      <c r="R242" s="3" t="s">
        <v>1346</v>
      </c>
      <c r="S242" s="4">
        <v>51</v>
      </c>
      <c r="T242" s="4">
        <v>51</v>
      </c>
      <c r="U242" s="5" t="s">
        <v>2277</v>
      </c>
      <c r="V242" s="5" t="s">
        <v>2277</v>
      </c>
      <c r="W242" s="5" t="s">
        <v>2278</v>
      </c>
      <c r="X242" s="5" t="s">
        <v>2278</v>
      </c>
      <c r="Y242" s="4">
        <v>171</v>
      </c>
      <c r="Z242" s="4">
        <v>110</v>
      </c>
      <c r="AA242" s="4">
        <v>204</v>
      </c>
      <c r="AB242" s="4">
        <v>1</v>
      </c>
      <c r="AC242" s="4">
        <v>2</v>
      </c>
      <c r="AD242" s="4">
        <v>6</v>
      </c>
      <c r="AE242" s="4">
        <v>9</v>
      </c>
      <c r="AF242" s="4">
        <v>1</v>
      </c>
      <c r="AG242" s="4">
        <v>3</v>
      </c>
      <c r="AH242" s="4">
        <v>2</v>
      </c>
      <c r="AI242" s="4">
        <v>2</v>
      </c>
      <c r="AJ242" s="4">
        <v>3</v>
      </c>
      <c r="AK242" s="4">
        <v>4</v>
      </c>
      <c r="AL242" s="4">
        <v>0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115</v>
      </c>
      <c r="AR242" s="6" t="str">
        <f>HYPERLINK("http://catalog.hathitrust.org/Record/000826717","HathiTrust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HYPERLINK("https://creighton-primo.hosted.exlibrisgroup.com/primo-explore/search?tab=default_tab&amp;search_scope=EVERYTHING&amp;vid=01CRU&amp;lang=en_US&amp;offset=0&amp;query=any,contains,991001528529702656","Catalog Record")</f>
        <v>Catalog Record</v>
      </c>
      <c r="AT242" s="6" t="str">
        <f>HYPERLINK("http://www.worldcat.org/oclc/15661034","WorldCat Record")</f>
        <v>WorldCat Record</v>
      </c>
    </row>
    <row r="243" spans="1:46" ht="40.5" customHeight="1" x14ac:dyDescent="0.25">
      <c r="A243" s="8" t="s">
        <v>58</v>
      </c>
      <c r="B243" s="2" t="s">
        <v>2279</v>
      </c>
      <c r="C243" s="2" t="s">
        <v>2280</v>
      </c>
      <c r="D243" s="2" t="s">
        <v>2281</v>
      </c>
      <c r="E243" s="3" t="s">
        <v>492</v>
      </c>
      <c r="F243" s="3" t="s">
        <v>115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2282</v>
      </c>
      <c r="L243" s="2" t="s">
        <v>2283</v>
      </c>
      <c r="M243" s="3" t="s">
        <v>2284</v>
      </c>
      <c r="O243" s="3" t="s">
        <v>64</v>
      </c>
      <c r="P243" s="3" t="s">
        <v>112</v>
      </c>
      <c r="R243" s="3" t="s">
        <v>1346</v>
      </c>
      <c r="S243" s="4">
        <v>2</v>
      </c>
      <c r="T243" s="4">
        <v>5</v>
      </c>
      <c r="U243" s="5" t="s">
        <v>2285</v>
      </c>
      <c r="V243" s="5" t="s">
        <v>1124</v>
      </c>
      <c r="W243" s="5" t="s">
        <v>2286</v>
      </c>
      <c r="X243" s="5" t="s">
        <v>2286</v>
      </c>
      <c r="Y243" s="4">
        <v>197</v>
      </c>
      <c r="Z243" s="4">
        <v>126</v>
      </c>
      <c r="AA243" s="4">
        <v>173</v>
      </c>
      <c r="AB243" s="4">
        <v>2</v>
      </c>
      <c r="AC243" s="4">
        <v>2</v>
      </c>
      <c r="AD243" s="4">
        <v>5</v>
      </c>
      <c r="AE243" s="4">
        <v>9</v>
      </c>
      <c r="AF243" s="4">
        <v>2</v>
      </c>
      <c r="AG243" s="4">
        <v>4</v>
      </c>
      <c r="AH243" s="4">
        <v>1</v>
      </c>
      <c r="AI243" s="4">
        <v>3</v>
      </c>
      <c r="AJ243" s="4">
        <v>1</v>
      </c>
      <c r="AK243" s="4">
        <v>2</v>
      </c>
      <c r="AL243" s="4">
        <v>1</v>
      </c>
      <c r="AM243" s="4">
        <v>1</v>
      </c>
      <c r="AN243" s="4">
        <v>0</v>
      </c>
      <c r="AO243" s="4">
        <v>0</v>
      </c>
      <c r="AP243" s="3" t="s">
        <v>58</v>
      </c>
      <c r="AQ243" s="3" t="s">
        <v>115</v>
      </c>
      <c r="AR243" s="6" t="str">
        <f>HYPERLINK("http://catalog.hathitrust.org/Record/001573902","HathiTrust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HYPERLINK("https://creighton-primo.hosted.exlibrisgroup.com/primo-explore/search?tab=default_tab&amp;search_scope=EVERYTHING&amp;vid=01CRU&amp;lang=en_US&amp;offset=0&amp;query=any,contains,991000952469702656","Catalog Record")</f>
        <v>Catalog Record</v>
      </c>
      <c r="AT243" s="6" t="str">
        <f>HYPERLINK("http://www.worldcat.org/oclc/595025","WorldCat Record")</f>
        <v>WorldCat Record</v>
      </c>
    </row>
    <row r="244" spans="1:46" ht="40.5" customHeight="1" x14ac:dyDescent="0.25">
      <c r="A244" s="8" t="s">
        <v>58</v>
      </c>
      <c r="B244" s="2" t="s">
        <v>2279</v>
      </c>
      <c r="C244" s="2" t="s">
        <v>2280</v>
      </c>
      <c r="D244" s="2" t="s">
        <v>2281</v>
      </c>
      <c r="E244" s="3" t="s">
        <v>480</v>
      </c>
      <c r="F244" s="3" t="s">
        <v>115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2282</v>
      </c>
      <c r="L244" s="2" t="s">
        <v>2283</v>
      </c>
      <c r="M244" s="3" t="s">
        <v>2284</v>
      </c>
      <c r="O244" s="3" t="s">
        <v>64</v>
      </c>
      <c r="P244" s="3" t="s">
        <v>112</v>
      </c>
      <c r="R244" s="3" t="s">
        <v>1346</v>
      </c>
      <c r="S244" s="4">
        <v>3</v>
      </c>
      <c r="T244" s="4">
        <v>5</v>
      </c>
      <c r="U244" s="5" t="s">
        <v>1124</v>
      </c>
      <c r="V244" s="5" t="s">
        <v>1124</v>
      </c>
      <c r="W244" s="5" t="s">
        <v>2286</v>
      </c>
      <c r="X244" s="5" t="s">
        <v>2286</v>
      </c>
      <c r="Y244" s="4">
        <v>197</v>
      </c>
      <c r="Z244" s="4">
        <v>126</v>
      </c>
      <c r="AA244" s="4">
        <v>173</v>
      </c>
      <c r="AB244" s="4">
        <v>2</v>
      </c>
      <c r="AC244" s="4">
        <v>2</v>
      </c>
      <c r="AD244" s="4">
        <v>5</v>
      </c>
      <c r="AE244" s="4">
        <v>9</v>
      </c>
      <c r="AF244" s="4">
        <v>2</v>
      </c>
      <c r="AG244" s="4">
        <v>4</v>
      </c>
      <c r="AH244" s="4">
        <v>1</v>
      </c>
      <c r="AI244" s="4">
        <v>3</v>
      </c>
      <c r="AJ244" s="4">
        <v>1</v>
      </c>
      <c r="AK244" s="4">
        <v>2</v>
      </c>
      <c r="AL244" s="4">
        <v>1</v>
      </c>
      <c r="AM244" s="4">
        <v>1</v>
      </c>
      <c r="AN244" s="4">
        <v>0</v>
      </c>
      <c r="AO244" s="4">
        <v>0</v>
      </c>
      <c r="AP244" s="3" t="s">
        <v>58</v>
      </c>
      <c r="AQ244" s="3" t="s">
        <v>115</v>
      </c>
      <c r="AR244" s="6" t="str">
        <f>HYPERLINK("http://catalog.hathitrust.org/Record/001573902","HathiTrust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HYPERLINK("https://creighton-primo.hosted.exlibrisgroup.com/primo-explore/search?tab=default_tab&amp;search_scope=EVERYTHING&amp;vid=01CRU&amp;lang=en_US&amp;offset=0&amp;query=any,contains,991000952469702656","Catalog Record")</f>
        <v>Catalog Record</v>
      </c>
      <c r="AT244" s="6" t="str">
        <f>HYPERLINK("http://www.worldcat.org/oclc/595025","WorldCat Record")</f>
        <v>WorldCat Record</v>
      </c>
    </row>
    <row r="245" spans="1:46" ht="40.5" customHeight="1" x14ac:dyDescent="0.25">
      <c r="A245" s="8" t="s">
        <v>58</v>
      </c>
      <c r="B245" s="2" t="s">
        <v>2287</v>
      </c>
      <c r="C245" s="2" t="s">
        <v>2288</v>
      </c>
      <c r="D245" s="2" t="s">
        <v>2289</v>
      </c>
      <c r="E245" s="3" t="s">
        <v>480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2290</v>
      </c>
      <c r="L245" s="2" t="s">
        <v>2291</v>
      </c>
      <c r="M245" s="3" t="s">
        <v>81</v>
      </c>
      <c r="O245" s="3" t="s">
        <v>64</v>
      </c>
      <c r="P245" s="3" t="s">
        <v>65</v>
      </c>
      <c r="R245" s="3" t="s">
        <v>1346</v>
      </c>
      <c r="S245" s="4">
        <v>3</v>
      </c>
      <c r="T245" s="4">
        <v>3</v>
      </c>
      <c r="U245" s="5" t="s">
        <v>2292</v>
      </c>
      <c r="V245" s="5" t="s">
        <v>2292</v>
      </c>
      <c r="W245" s="5" t="s">
        <v>2130</v>
      </c>
      <c r="X245" s="5" t="s">
        <v>2130</v>
      </c>
      <c r="Y245" s="4">
        <v>712</v>
      </c>
      <c r="Z245" s="4">
        <v>591</v>
      </c>
      <c r="AA245" s="4">
        <v>598</v>
      </c>
      <c r="AB245" s="4">
        <v>4</v>
      </c>
      <c r="AC245" s="4">
        <v>4</v>
      </c>
      <c r="AD245" s="4">
        <v>21</v>
      </c>
      <c r="AE245" s="4">
        <v>21</v>
      </c>
      <c r="AF245" s="4">
        <v>9</v>
      </c>
      <c r="AG245" s="4">
        <v>9</v>
      </c>
      <c r="AH245" s="4">
        <v>4</v>
      </c>
      <c r="AI245" s="4">
        <v>4</v>
      </c>
      <c r="AJ245" s="4">
        <v>11</v>
      </c>
      <c r="AK245" s="4">
        <v>11</v>
      </c>
      <c r="AL245" s="4">
        <v>3</v>
      </c>
      <c r="AM245" s="4">
        <v>3</v>
      </c>
      <c r="AN245" s="4">
        <v>0</v>
      </c>
      <c r="AO245" s="4">
        <v>0</v>
      </c>
      <c r="AP245" s="3" t="s">
        <v>58</v>
      </c>
      <c r="AQ245" s="3" t="s">
        <v>115</v>
      </c>
      <c r="AR245" s="6" t="str">
        <f>HYPERLINK("http://catalog.hathitrust.org/Record/000738011","HathiTrust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HYPERLINK("https://creighton-primo.hosted.exlibrisgroup.com/primo-explore/search?tab=default_tab&amp;search_scope=EVERYTHING&amp;vid=01CRU&amp;lang=en_US&amp;offset=0&amp;query=any,contains,991000952429702656","Catalog Record")</f>
        <v>Catalog Record</v>
      </c>
      <c r="AT245" s="6" t="str">
        <f>HYPERLINK("http://www.worldcat.org/oclc/2388302","WorldCat Record")</f>
        <v>WorldCat Record</v>
      </c>
    </row>
    <row r="246" spans="1:46" ht="40.5" customHeight="1" x14ac:dyDescent="0.25">
      <c r="A246" s="8" t="s">
        <v>58</v>
      </c>
      <c r="B246" s="2" t="s">
        <v>2293</v>
      </c>
      <c r="C246" s="2" t="s">
        <v>2294</v>
      </c>
      <c r="D246" s="2" t="s">
        <v>2295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2296</v>
      </c>
      <c r="L246" s="2" t="s">
        <v>2297</v>
      </c>
      <c r="M246" s="3" t="s">
        <v>1392</v>
      </c>
      <c r="N246" s="2" t="s">
        <v>936</v>
      </c>
      <c r="O246" s="3" t="s">
        <v>64</v>
      </c>
      <c r="P246" s="3" t="s">
        <v>190</v>
      </c>
      <c r="R246" s="3" t="s">
        <v>1346</v>
      </c>
      <c r="S246" s="4">
        <v>3</v>
      </c>
      <c r="T246" s="4">
        <v>3</v>
      </c>
      <c r="U246" s="5" t="s">
        <v>2298</v>
      </c>
      <c r="V246" s="5" t="s">
        <v>2298</v>
      </c>
      <c r="W246" s="5" t="s">
        <v>1798</v>
      </c>
      <c r="X246" s="5" t="s">
        <v>1798</v>
      </c>
      <c r="Y246" s="4">
        <v>159</v>
      </c>
      <c r="Z246" s="4">
        <v>123</v>
      </c>
      <c r="AA246" s="4">
        <v>408</v>
      </c>
      <c r="AB246" s="4">
        <v>1</v>
      </c>
      <c r="AC246" s="4">
        <v>1</v>
      </c>
      <c r="AD246" s="4">
        <v>3</v>
      </c>
      <c r="AE246" s="4">
        <v>9</v>
      </c>
      <c r="AF246" s="4">
        <v>0</v>
      </c>
      <c r="AG246" s="4">
        <v>3</v>
      </c>
      <c r="AH246" s="4">
        <v>2</v>
      </c>
      <c r="AI246" s="4">
        <v>4</v>
      </c>
      <c r="AJ246" s="4">
        <v>2</v>
      </c>
      <c r="AK246" s="4">
        <v>5</v>
      </c>
      <c r="AL246" s="4">
        <v>0</v>
      </c>
      <c r="AM246" s="4">
        <v>0</v>
      </c>
      <c r="AN246" s="4">
        <v>0</v>
      </c>
      <c r="AO246" s="4">
        <v>0</v>
      </c>
      <c r="AP246" s="3" t="s">
        <v>58</v>
      </c>
      <c r="AQ246" s="3" t="s">
        <v>115</v>
      </c>
      <c r="AR246" s="6" t="str">
        <f>HYPERLINK("http://catalog.hathitrust.org/Record/000243434","HathiTrust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HYPERLINK("https://creighton-primo.hosted.exlibrisgroup.com/primo-explore/search?tab=default_tab&amp;search_scope=EVERYTHING&amp;vid=01CRU&amp;lang=en_US&amp;offset=0&amp;query=any,contains,991000952389702656","Catalog Record")</f>
        <v>Catalog Record</v>
      </c>
      <c r="AT246" s="6" t="str">
        <f>HYPERLINK("http://www.worldcat.org/oclc/9729530","WorldCat Record")</f>
        <v>WorldCat Record</v>
      </c>
    </row>
    <row r="247" spans="1:46" ht="40.5" customHeight="1" x14ac:dyDescent="0.25">
      <c r="A247" s="8" t="s">
        <v>58</v>
      </c>
      <c r="B247" s="2" t="s">
        <v>2299</v>
      </c>
      <c r="C247" s="2" t="s">
        <v>2300</v>
      </c>
      <c r="D247" s="2" t="s">
        <v>2301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2302</v>
      </c>
      <c r="L247" s="2" t="s">
        <v>2303</v>
      </c>
      <c r="M247" s="3" t="s">
        <v>468</v>
      </c>
      <c r="N247" s="2" t="s">
        <v>2304</v>
      </c>
      <c r="O247" s="3" t="s">
        <v>64</v>
      </c>
      <c r="P247" s="3" t="s">
        <v>112</v>
      </c>
      <c r="R247" s="3" t="s">
        <v>1346</v>
      </c>
      <c r="S247" s="4">
        <v>2</v>
      </c>
      <c r="T247" s="4">
        <v>2</v>
      </c>
      <c r="U247" s="5" t="s">
        <v>2305</v>
      </c>
      <c r="V247" s="5" t="s">
        <v>2305</v>
      </c>
      <c r="W247" s="5" t="s">
        <v>2306</v>
      </c>
      <c r="X247" s="5" t="s">
        <v>2306</v>
      </c>
      <c r="Y247" s="4">
        <v>186</v>
      </c>
      <c r="Z247" s="4">
        <v>120</v>
      </c>
      <c r="AA247" s="4">
        <v>223</v>
      </c>
      <c r="AB247" s="4">
        <v>3</v>
      </c>
      <c r="AC247" s="4">
        <v>3</v>
      </c>
      <c r="AD247" s="4">
        <v>6</v>
      </c>
      <c r="AE247" s="4">
        <v>8</v>
      </c>
      <c r="AF247" s="4">
        <v>3</v>
      </c>
      <c r="AG247" s="4">
        <v>4</v>
      </c>
      <c r="AH247" s="4">
        <v>1</v>
      </c>
      <c r="AI247" s="4">
        <v>2</v>
      </c>
      <c r="AJ247" s="4">
        <v>2</v>
      </c>
      <c r="AK247" s="4">
        <v>3</v>
      </c>
      <c r="AL247" s="4">
        <v>1</v>
      </c>
      <c r="AM247" s="4">
        <v>1</v>
      </c>
      <c r="AN247" s="4">
        <v>0</v>
      </c>
      <c r="AO247" s="4">
        <v>0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HYPERLINK("https://creighton-primo.hosted.exlibrisgroup.com/primo-explore/search?tab=default_tab&amp;search_scope=EVERYTHING&amp;vid=01CRU&amp;lang=en_US&amp;offset=0&amp;query=any,contains,991000425919702656","Catalog Record")</f>
        <v>Catalog Record</v>
      </c>
      <c r="AT247" s="6" t="str">
        <f>HYPERLINK("http://www.worldcat.org/oclc/57256484","WorldCat Record")</f>
        <v>WorldCat Record</v>
      </c>
    </row>
    <row r="248" spans="1:46" ht="40.5" customHeight="1" x14ac:dyDescent="0.25">
      <c r="A248" s="8" t="s">
        <v>58</v>
      </c>
      <c r="B248" s="2" t="s">
        <v>2307</v>
      </c>
      <c r="C248" s="2" t="s">
        <v>2308</v>
      </c>
      <c r="D248" s="2" t="s">
        <v>2309</v>
      </c>
      <c r="E248" s="3" t="s">
        <v>2310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L248" s="2" t="s">
        <v>2311</v>
      </c>
      <c r="M248" s="3" t="s">
        <v>1702</v>
      </c>
      <c r="O248" s="3" t="s">
        <v>64</v>
      </c>
      <c r="P248" s="3" t="s">
        <v>65</v>
      </c>
      <c r="Q248" s="2" t="s">
        <v>2312</v>
      </c>
      <c r="R248" s="3" t="s">
        <v>1346</v>
      </c>
      <c r="S248" s="4">
        <v>5</v>
      </c>
      <c r="T248" s="4">
        <v>8</v>
      </c>
      <c r="U248" s="5" t="s">
        <v>2313</v>
      </c>
      <c r="V248" s="5" t="s">
        <v>2313</v>
      </c>
      <c r="W248" s="5" t="s">
        <v>2314</v>
      </c>
      <c r="X248" s="5" t="s">
        <v>2314</v>
      </c>
      <c r="Y248" s="4">
        <v>228</v>
      </c>
      <c r="Z248" s="4">
        <v>174</v>
      </c>
      <c r="AA248" s="4">
        <v>182</v>
      </c>
      <c r="AB248" s="4">
        <v>2</v>
      </c>
      <c r="AC248" s="4">
        <v>2</v>
      </c>
      <c r="AD248" s="4">
        <v>6</v>
      </c>
      <c r="AE248" s="4">
        <v>6</v>
      </c>
      <c r="AF248" s="4">
        <v>1</v>
      </c>
      <c r="AG248" s="4">
        <v>1</v>
      </c>
      <c r="AH248" s="4">
        <v>2</v>
      </c>
      <c r="AI248" s="4">
        <v>2</v>
      </c>
      <c r="AJ248" s="4">
        <v>3</v>
      </c>
      <c r="AK248" s="4">
        <v>3</v>
      </c>
      <c r="AL248" s="4">
        <v>1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115</v>
      </c>
      <c r="AR248" s="6" t="str">
        <f>HYPERLINK("http://catalog.hathitrust.org/Record/000734426","HathiTrust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HYPERLINK("https://creighton-primo.hosted.exlibrisgroup.com/primo-explore/search?tab=default_tab&amp;search_scope=EVERYTHING&amp;vid=01CRU&amp;lang=en_US&amp;offset=0&amp;query=any,contains,991000952349702656","Catalog Record")</f>
        <v>Catalog Record</v>
      </c>
      <c r="AT248" s="6" t="str">
        <f>HYPERLINK("http://www.worldcat.org/oclc/2437968","WorldCat Record")</f>
        <v>WorldCat Record</v>
      </c>
    </row>
    <row r="249" spans="1:46" ht="40.5" customHeight="1" x14ac:dyDescent="0.25">
      <c r="A249" s="8" t="s">
        <v>58</v>
      </c>
      <c r="B249" s="2" t="s">
        <v>2315</v>
      </c>
      <c r="C249" s="2" t="s">
        <v>2316</v>
      </c>
      <c r="D249" s="2" t="s">
        <v>2317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2318</v>
      </c>
      <c r="L249" s="2" t="s">
        <v>2319</v>
      </c>
      <c r="M249" s="3" t="s">
        <v>2320</v>
      </c>
      <c r="O249" s="3" t="s">
        <v>64</v>
      </c>
      <c r="P249" s="3" t="s">
        <v>1512</v>
      </c>
      <c r="R249" s="3" t="s">
        <v>1346</v>
      </c>
      <c r="S249" s="4">
        <v>4</v>
      </c>
      <c r="T249" s="4">
        <v>4</v>
      </c>
      <c r="U249" s="5" t="s">
        <v>2321</v>
      </c>
      <c r="V249" s="5" t="s">
        <v>2321</v>
      </c>
      <c r="W249" s="5" t="s">
        <v>2130</v>
      </c>
      <c r="X249" s="5" t="s">
        <v>2130</v>
      </c>
      <c r="Y249" s="4">
        <v>108</v>
      </c>
      <c r="Z249" s="4">
        <v>81</v>
      </c>
      <c r="AA249" s="4">
        <v>81</v>
      </c>
      <c r="AB249" s="4">
        <v>1</v>
      </c>
      <c r="AC249" s="4">
        <v>1</v>
      </c>
      <c r="AD249" s="4">
        <v>2</v>
      </c>
      <c r="AE249" s="4">
        <v>2</v>
      </c>
      <c r="AF249" s="4">
        <v>1</v>
      </c>
      <c r="AG249" s="4">
        <v>1</v>
      </c>
      <c r="AH249" s="4">
        <v>1</v>
      </c>
      <c r="AI249" s="4">
        <v>1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HYPERLINK("https://creighton-primo.hosted.exlibrisgroup.com/primo-explore/search?tab=default_tab&amp;search_scope=EVERYTHING&amp;vid=01CRU&amp;lang=en_US&amp;offset=0&amp;query=any,contains,991000952959702656","Catalog Record")</f>
        <v>Catalog Record</v>
      </c>
      <c r="AT249" s="6" t="str">
        <f>HYPERLINK("http://www.worldcat.org/oclc/4732796","WorldCat Record")</f>
        <v>WorldCat Record</v>
      </c>
    </row>
    <row r="250" spans="1:46" ht="40.5" customHeight="1" x14ac:dyDescent="0.25">
      <c r="A250" s="8" t="s">
        <v>58</v>
      </c>
      <c r="B250" s="2" t="s">
        <v>2322</v>
      </c>
      <c r="C250" s="2" t="s">
        <v>2323</v>
      </c>
      <c r="D250" s="2" t="s">
        <v>2324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2325</v>
      </c>
      <c r="L250" s="2" t="s">
        <v>2326</v>
      </c>
      <c r="M250" s="3" t="s">
        <v>408</v>
      </c>
      <c r="O250" s="3" t="s">
        <v>64</v>
      </c>
      <c r="P250" s="3" t="s">
        <v>1288</v>
      </c>
      <c r="R250" s="3" t="s">
        <v>1346</v>
      </c>
      <c r="S250" s="4">
        <v>3</v>
      </c>
      <c r="T250" s="4">
        <v>3</v>
      </c>
      <c r="U250" s="5" t="s">
        <v>2327</v>
      </c>
      <c r="V250" s="5" t="s">
        <v>2327</v>
      </c>
      <c r="W250" s="5" t="s">
        <v>2130</v>
      </c>
      <c r="X250" s="5" t="s">
        <v>2130</v>
      </c>
      <c r="Y250" s="4">
        <v>24</v>
      </c>
      <c r="Z250" s="4">
        <v>24</v>
      </c>
      <c r="AA250" s="4">
        <v>24</v>
      </c>
      <c r="AB250" s="4">
        <v>1</v>
      </c>
      <c r="AC250" s="4">
        <v>1</v>
      </c>
      <c r="AD250" s="4">
        <v>3</v>
      </c>
      <c r="AE250" s="4">
        <v>3</v>
      </c>
      <c r="AF250" s="4">
        <v>2</v>
      </c>
      <c r="AG250" s="4">
        <v>2</v>
      </c>
      <c r="AH250" s="4">
        <v>1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HYPERLINK("https://creighton-primo.hosted.exlibrisgroup.com/primo-explore/search?tab=default_tab&amp;search_scope=EVERYTHING&amp;vid=01CRU&amp;lang=en_US&amp;offset=0&amp;query=any,contains,991000952929702656","Catalog Record")</f>
        <v>Catalog Record</v>
      </c>
      <c r="AT250" s="6" t="str">
        <f>HYPERLINK("http://www.worldcat.org/oclc/12831981","WorldCat Record")</f>
        <v>WorldCat Record</v>
      </c>
    </row>
    <row r="251" spans="1:46" ht="40.5" customHeight="1" x14ac:dyDescent="0.25">
      <c r="A251" s="8" t="s">
        <v>58</v>
      </c>
      <c r="B251" s="2" t="s">
        <v>2328</v>
      </c>
      <c r="C251" s="2" t="s">
        <v>2329</v>
      </c>
      <c r="D251" s="2" t="s">
        <v>2330</v>
      </c>
      <c r="E251" s="3" t="s">
        <v>2331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L251" s="2" t="s">
        <v>2332</v>
      </c>
      <c r="M251" s="3" t="s">
        <v>1702</v>
      </c>
      <c r="O251" s="3" t="s">
        <v>64</v>
      </c>
      <c r="P251" s="3" t="s">
        <v>65</v>
      </c>
      <c r="Q251" s="2" t="s">
        <v>2333</v>
      </c>
      <c r="R251" s="3" t="s">
        <v>1346</v>
      </c>
      <c r="S251" s="4">
        <v>2</v>
      </c>
      <c r="T251" s="4">
        <v>2</v>
      </c>
      <c r="U251" s="5" t="s">
        <v>2334</v>
      </c>
      <c r="V251" s="5" t="s">
        <v>2334</v>
      </c>
      <c r="W251" s="5" t="s">
        <v>2335</v>
      </c>
      <c r="X251" s="5" t="s">
        <v>2335</v>
      </c>
      <c r="Y251" s="4">
        <v>185</v>
      </c>
      <c r="Z251" s="4">
        <v>139</v>
      </c>
      <c r="AA251" s="4">
        <v>141</v>
      </c>
      <c r="AB251" s="4">
        <v>2</v>
      </c>
      <c r="AC251" s="4">
        <v>2</v>
      </c>
      <c r="AD251" s="4">
        <v>4</v>
      </c>
      <c r="AE251" s="4">
        <v>4</v>
      </c>
      <c r="AF251" s="4">
        <v>1</v>
      </c>
      <c r="AG251" s="4">
        <v>1</v>
      </c>
      <c r="AH251" s="4">
        <v>0</v>
      </c>
      <c r="AI251" s="4">
        <v>0</v>
      </c>
      <c r="AJ251" s="4">
        <v>2</v>
      </c>
      <c r="AK251" s="4">
        <v>2</v>
      </c>
      <c r="AL251" s="4">
        <v>1</v>
      </c>
      <c r="AM251" s="4">
        <v>1</v>
      </c>
      <c r="AN251" s="4">
        <v>0</v>
      </c>
      <c r="AO251" s="4">
        <v>0</v>
      </c>
      <c r="AP251" s="3" t="s">
        <v>58</v>
      </c>
      <c r="AQ251" s="3" t="s">
        <v>115</v>
      </c>
      <c r="AR251" s="6" t="str">
        <f>HYPERLINK("http://catalog.hathitrust.org/Record/000027971","HathiTrust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HYPERLINK("https://creighton-primo.hosted.exlibrisgroup.com/primo-explore/search?tab=default_tab&amp;search_scope=EVERYTHING&amp;vid=01CRU&amp;lang=en_US&amp;offset=0&amp;query=any,contains,991000952869702656","Catalog Record")</f>
        <v>Catalog Record</v>
      </c>
      <c r="AT251" s="6" t="str">
        <f>HYPERLINK("http://www.worldcat.org/oclc/2586624","WorldCat Record")</f>
        <v>WorldCat Record</v>
      </c>
    </row>
    <row r="252" spans="1:46" ht="40.5" customHeight="1" x14ac:dyDescent="0.25">
      <c r="A252" s="8" t="s">
        <v>58</v>
      </c>
      <c r="B252" s="2" t="s">
        <v>2336</v>
      </c>
      <c r="C252" s="2" t="s">
        <v>2337</v>
      </c>
      <c r="D252" s="2" t="s">
        <v>2338</v>
      </c>
      <c r="E252" s="3" t="s">
        <v>2339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L252" s="2" t="s">
        <v>2340</v>
      </c>
      <c r="M252" s="3" t="s">
        <v>235</v>
      </c>
      <c r="O252" s="3" t="s">
        <v>64</v>
      </c>
      <c r="P252" s="3" t="s">
        <v>65</v>
      </c>
      <c r="Q252" s="2" t="s">
        <v>2341</v>
      </c>
      <c r="R252" s="3" t="s">
        <v>1346</v>
      </c>
      <c r="S252" s="4">
        <v>17</v>
      </c>
      <c r="T252" s="4">
        <v>17</v>
      </c>
      <c r="U252" s="5" t="s">
        <v>2342</v>
      </c>
      <c r="V252" s="5" t="s">
        <v>2342</v>
      </c>
      <c r="W252" s="5" t="s">
        <v>2335</v>
      </c>
      <c r="X252" s="5" t="s">
        <v>2335</v>
      </c>
      <c r="Y252" s="4">
        <v>189</v>
      </c>
      <c r="Z252" s="4">
        <v>131</v>
      </c>
      <c r="AA252" s="4">
        <v>132</v>
      </c>
      <c r="AB252" s="4">
        <v>2</v>
      </c>
      <c r="AC252" s="4">
        <v>2</v>
      </c>
      <c r="AD252" s="4">
        <v>3</v>
      </c>
      <c r="AE252" s="4">
        <v>3</v>
      </c>
      <c r="AF252" s="4">
        <v>1</v>
      </c>
      <c r="AG252" s="4">
        <v>1</v>
      </c>
      <c r="AH252" s="4">
        <v>1</v>
      </c>
      <c r="AI252" s="4">
        <v>1</v>
      </c>
      <c r="AJ252" s="4">
        <v>0</v>
      </c>
      <c r="AK252" s="4">
        <v>0</v>
      </c>
      <c r="AL252" s="4">
        <v>1</v>
      </c>
      <c r="AM252" s="4">
        <v>1</v>
      </c>
      <c r="AN252" s="4">
        <v>0</v>
      </c>
      <c r="AO252" s="4">
        <v>0</v>
      </c>
      <c r="AP252" s="3" t="s">
        <v>58</v>
      </c>
      <c r="AQ252" s="3" t="s">
        <v>115</v>
      </c>
      <c r="AR252" s="6" t="str">
        <f>HYPERLINK("http://catalog.hathitrust.org/Record/000088743","HathiTrust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HYPERLINK("https://creighton-primo.hosted.exlibrisgroup.com/primo-explore/search?tab=default_tab&amp;search_scope=EVERYTHING&amp;vid=01CRU&amp;lang=en_US&amp;offset=0&amp;query=any,contains,991000952829702656","Catalog Record")</f>
        <v>Catalog Record</v>
      </c>
      <c r="AT252" s="6" t="str">
        <f>HYPERLINK("http://www.worldcat.org/oclc/3517612","WorldCat Record")</f>
        <v>WorldCat Record</v>
      </c>
    </row>
    <row r="253" spans="1:46" ht="40.5" customHeight="1" x14ac:dyDescent="0.25">
      <c r="A253" s="8" t="s">
        <v>58</v>
      </c>
      <c r="B253" s="2" t="s">
        <v>2343</v>
      </c>
      <c r="C253" s="2" t="s">
        <v>2344</v>
      </c>
      <c r="D253" s="2" t="s">
        <v>2345</v>
      </c>
      <c r="E253" s="3" t="s">
        <v>2346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L253" s="2" t="s">
        <v>2347</v>
      </c>
      <c r="M253" s="3" t="s">
        <v>725</v>
      </c>
      <c r="O253" s="3" t="s">
        <v>64</v>
      </c>
      <c r="P253" s="3" t="s">
        <v>1355</v>
      </c>
      <c r="Q253" s="2" t="s">
        <v>2348</v>
      </c>
      <c r="R253" s="3" t="s">
        <v>1346</v>
      </c>
      <c r="S253" s="4">
        <v>8</v>
      </c>
      <c r="T253" s="4">
        <v>8</v>
      </c>
      <c r="U253" s="5" t="s">
        <v>2349</v>
      </c>
      <c r="V253" s="5" t="s">
        <v>2349</v>
      </c>
      <c r="W253" s="5" t="s">
        <v>1436</v>
      </c>
      <c r="X253" s="5" t="s">
        <v>1436</v>
      </c>
      <c r="Y253" s="4">
        <v>236</v>
      </c>
      <c r="Z253" s="4">
        <v>179</v>
      </c>
      <c r="AA253" s="4">
        <v>181</v>
      </c>
      <c r="AB253" s="4">
        <v>1</v>
      </c>
      <c r="AC253" s="4">
        <v>1</v>
      </c>
      <c r="AD253" s="4">
        <v>6</v>
      </c>
      <c r="AE253" s="4">
        <v>6</v>
      </c>
      <c r="AF253" s="4">
        <v>1</v>
      </c>
      <c r="AG253" s="4">
        <v>1</v>
      </c>
      <c r="AH253" s="4">
        <v>2</v>
      </c>
      <c r="AI253" s="4">
        <v>2</v>
      </c>
      <c r="AJ253" s="4">
        <v>5</v>
      </c>
      <c r="AK253" s="4">
        <v>5</v>
      </c>
      <c r="AL253" s="4">
        <v>0</v>
      </c>
      <c r="AM253" s="4">
        <v>0</v>
      </c>
      <c r="AN253" s="4">
        <v>0</v>
      </c>
      <c r="AO253" s="4">
        <v>0</v>
      </c>
      <c r="AP253" s="3" t="s">
        <v>58</v>
      </c>
      <c r="AQ253" s="3" t="s">
        <v>115</v>
      </c>
      <c r="AR253" s="6" t="str">
        <f>HYPERLINK("http://catalog.hathitrust.org/Record/000766258","HathiTrust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HYPERLINK("https://creighton-primo.hosted.exlibrisgroup.com/primo-explore/search?tab=default_tab&amp;search_scope=EVERYTHING&amp;vid=01CRU&amp;lang=en_US&amp;offset=0&amp;query=any,contains,991000747689702656","Catalog Record")</f>
        <v>Catalog Record</v>
      </c>
      <c r="AT253" s="6" t="str">
        <f>HYPERLINK("http://www.worldcat.org/oclc/8169519","WorldCat Record")</f>
        <v>WorldCat Record</v>
      </c>
    </row>
    <row r="254" spans="1:46" ht="40.5" customHeight="1" x14ac:dyDescent="0.25">
      <c r="A254" s="8" t="s">
        <v>58</v>
      </c>
      <c r="B254" s="2" t="s">
        <v>2350</v>
      </c>
      <c r="C254" s="2" t="s">
        <v>2351</v>
      </c>
      <c r="D254" s="2" t="s">
        <v>2352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L254" s="2" t="s">
        <v>2353</v>
      </c>
      <c r="M254" s="3" t="s">
        <v>424</v>
      </c>
      <c r="O254" s="3" t="s">
        <v>64</v>
      </c>
      <c r="P254" s="3" t="s">
        <v>643</v>
      </c>
      <c r="R254" s="3" t="s">
        <v>1346</v>
      </c>
      <c r="S254" s="4">
        <v>25</v>
      </c>
      <c r="T254" s="4">
        <v>25</v>
      </c>
      <c r="U254" s="5" t="s">
        <v>2354</v>
      </c>
      <c r="V254" s="5" t="s">
        <v>2354</v>
      </c>
      <c r="W254" s="5" t="s">
        <v>546</v>
      </c>
      <c r="X254" s="5" t="s">
        <v>546</v>
      </c>
      <c r="Y254" s="4">
        <v>10</v>
      </c>
      <c r="Z254" s="4">
        <v>10</v>
      </c>
      <c r="AA254" s="4">
        <v>12</v>
      </c>
      <c r="AB254" s="4">
        <v>1</v>
      </c>
      <c r="AC254" s="4">
        <v>1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3" t="s">
        <v>58</v>
      </c>
      <c r="AQ254" s="3" t="s">
        <v>115</v>
      </c>
      <c r="AR254" s="6" t="str">
        <f>HYPERLINK("http://catalog.hathitrust.org/Record/002966645","HathiTrust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HYPERLINK("https://creighton-primo.hosted.exlibrisgroup.com/primo-explore/search?tab=default_tab&amp;search_scope=EVERYTHING&amp;vid=01CRU&amp;lang=en_US&amp;offset=0&amp;query=any,contains,991000687609702656","Catalog Record")</f>
        <v>Catalog Record</v>
      </c>
      <c r="AT254" s="6" t="str">
        <f>HYPERLINK("http://www.worldcat.org/oclc/31594309","WorldCat Record")</f>
        <v>WorldCat Record</v>
      </c>
    </row>
    <row r="255" spans="1:46" ht="40.5" customHeight="1" x14ac:dyDescent="0.25">
      <c r="A255" s="8" t="s">
        <v>58</v>
      </c>
      <c r="B255" s="2" t="s">
        <v>2355</v>
      </c>
      <c r="C255" s="2" t="s">
        <v>2356</v>
      </c>
      <c r="D255" s="2" t="s">
        <v>2357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2358</v>
      </c>
      <c r="M255" s="3" t="s">
        <v>142</v>
      </c>
      <c r="O255" s="3" t="s">
        <v>64</v>
      </c>
      <c r="P255" s="3" t="s">
        <v>1355</v>
      </c>
      <c r="Q255" s="2" t="s">
        <v>2359</v>
      </c>
      <c r="R255" s="3" t="s">
        <v>1346</v>
      </c>
      <c r="S255" s="4">
        <v>8</v>
      </c>
      <c r="T255" s="4">
        <v>8</v>
      </c>
      <c r="U255" s="5" t="s">
        <v>2360</v>
      </c>
      <c r="V255" s="5" t="s">
        <v>2360</v>
      </c>
      <c r="W255" s="5" t="s">
        <v>2361</v>
      </c>
      <c r="X255" s="5" t="s">
        <v>2361</v>
      </c>
      <c r="Y255" s="4">
        <v>158</v>
      </c>
      <c r="Z255" s="4">
        <v>111</v>
      </c>
      <c r="AA255" s="4">
        <v>111</v>
      </c>
      <c r="AB255" s="4">
        <v>1</v>
      </c>
      <c r="AC255" s="4">
        <v>1</v>
      </c>
      <c r="AD255" s="4">
        <v>4</v>
      </c>
      <c r="AE255" s="4">
        <v>4</v>
      </c>
      <c r="AF255" s="4">
        <v>3</v>
      </c>
      <c r="AG255" s="4">
        <v>3</v>
      </c>
      <c r="AH255" s="4">
        <v>2</v>
      </c>
      <c r="AI255" s="4">
        <v>2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HYPERLINK("https://creighton-primo.hosted.exlibrisgroup.com/primo-explore/search?tab=default_tab&amp;search_scope=EVERYTHING&amp;vid=01CRU&amp;lang=en_US&amp;offset=0&amp;query=any,contains,991000948169702656","Catalog Record")</f>
        <v>Catalog Record</v>
      </c>
      <c r="AT255" s="6" t="str">
        <f>HYPERLINK("http://www.worldcat.org/oclc/23973699","WorldCat Record")</f>
        <v>WorldCat Record</v>
      </c>
    </row>
    <row r="256" spans="1:46" ht="40.5" customHeight="1" x14ac:dyDescent="0.25">
      <c r="A256" s="8" t="s">
        <v>58</v>
      </c>
      <c r="B256" s="2" t="s">
        <v>2362</v>
      </c>
      <c r="C256" s="2" t="s">
        <v>2363</v>
      </c>
      <c r="D256" s="2" t="s">
        <v>2364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L256" s="2" t="s">
        <v>2365</v>
      </c>
      <c r="M256" s="3" t="s">
        <v>468</v>
      </c>
      <c r="N256" s="2" t="s">
        <v>143</v>
      </c>
      <c r="O256" s="3" t="s">
        <v>64</v>
      </c>
      <c r="P256" s="3" t="s">
        <v>613</v>
      </c>
      <c r="Q256" s="2" t="s">
        <v>2366</v>
      </c>
      <c r="R256" s="3" t="s">
        <v>1346</v>
      </c>
      <c r="S256" s="4">
        <v>8</v>
      </c>
      <c r="T256" s="4">
        <v>8</v>
      </c>
      <c r="U256" s="5" t="s">
        <v>2367</v>
      </c>
      <c r="V256" s="5" t="s">
        <v>2367</v>
      </c>
      <c r="W256" s="5" t="s">
        <v>2368</v>
      </c>
      <c r="X256" s="5" t="s">
        <v>2368</v>
      </c>
      <c r="Y256" s="4">
        <v>139</v>
      </c>
      <c r="Z256" s="4">
        <v>91</v>
      </c>
      <c r="AA256" s="4">
        <v>184</v>
      </c>
      <c r="AB256" s="4">
        <v>1</v>
      </c>
      <c r="AC256" s="4">
        <v>1</v>
      </c>
      <c r="AD256" s="4">
        <v>3</v>
      </c>
      <c r="AE256" s="4">
        <v>6</v>
      </c>
      <c r="AF256" s="4">
        <v>0</v>
      </c>
      <c r="AG256" s="4">
        <v>2</v>
      </c>
      <c r="AH256" s="4">
        <v>2</v>
      </c>
      <c r="AI256" s="4">
        <v>3</v>
      </c>
      <c r="AJ256" s="4">
        <v>1</v>
      </c>
      <c r="AK256" s="4">
        <v>2</v>
      </c>
      <c r="AL256" s="4">
        <v>0</v>
      </c>
      <c r="AM256" s="4">
        <v>0</v>
      </c>
      <c r="AN256" s="4">
        <v>0</v>
      </c>
      <c r="AO256" s="4">
        <v>0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HYPERLINK("https://creighton-primo.hosted.exlibrisgroup.com/primo-explore/search?tab=default_tab&amp;search_scope=EVERYTHING&amp;vid=01CRU&amp;lang=en_US&amp;offset=0&amp;query=any,contains,991000472619702656","Catalog Record")</f>
        <v>Catalog Record</v>
      </c>
      <c r="AT256" s="6" t="str">
        <f>HYPERLINK("http://www.worldcat.org/oclc/60825584","WorldCat Record")</f>
        <v>WorldCat Record</v>
      </c>
    </row>
    <row r="257" spans="1:46" ht="40.5" customHeight="1" x14ac:dyDescent="0.25">
      <c r="A257" s="8" t="s">
        <v>58</v>
      </c>
      <c r="B257" s="2" t="s">
        <v>2369</v>
      </c>
      <c r="C257" s="2" t="s">
        <v>2370</v>
      </c>
      <c r="D257" s="2" t="s">
        <v>2371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L257" s="2" t="s">
        <v>2372</v>
      </c>
      <c r="M257" s="3" t="s">
        <v>424</v>
      </c>
      <c r="N257" s="2" t="s">
        <v>936</v>
      </c>
      <c r="O257" s="3" t="s">
        <v>64</v>
      </c>
      <c r="P257" s="3" t="s">
        <v>643</v>
      </c>
      <c r="R257" s="3" t="s">
        <v>1346</v>
      </c>
      <c r="S257" s="4">
        <v>8</v>
      </c>
      <c r="T257" s="4">
        <v>8</v>
      </c>
      <c r="U257" s="5" t="s">
        <v>2373</v>
      </c>
      <c r="V257" s="5" t="s">
        <v>2373</v>
      </c>
      <c r="W257" s="5" t="s">
        <v>2374</v>
      </c>
      <c r="X257" s="5" t="s">
        <v>2374</v>
      </c>
      <c r="Y257" s="4">
        <v>171</v>
      </c>
      <c r="Z257" s="4">
        <v>126</v>
      </c>
      <c r="AA257" s="4">
        <v>224</v>
      </c>
      <c r="AB257" s="4">
        <v>1</v>
      </c>
      <c r="AC257" s="4">
        <v>1</v>
      </c>
      <c r="AD257" s="4">
        <v>3</v>
      </c>
      <c r="AE257" s="4">
        <v>6</v>
      </c>
      <c r="AF257" s="4">
        <v>2</v>
      </c>
      <c r="AG257" s="4">
        <v>3</v>
      </c>
      <c r="AH257" s="4">
        <v>2</v>
      </c>
      <c r="AI257" s="4">
        <v>3</v>
      </c>
      <c r="AJ257" s="4">
        <v>0</v>
      </c>
      <c r="AK257" s="4">
        <v>1</v>
      </c>
      <c r="AL257" s="4">
        <v>0</v>
      </c>
      <c r="AM257" s="4">
        <v>0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HYPERLINK("https://creighton-primo.hosted.exlibrisgroup.com/primo-explore/search?tab=default_tab&amp;search_scope=EVERYTHING&amp;vid=01CRU&amp;lang=en_US&amp;offset=0&amp;query=any,contains,991000649389702656","Catalog Record")</f>
        <v>Catalog Record</v>
      </c>
      <c r="AT257" s="6" t="str">
        <f>HYPERLINK("http://www.worldcat.org/oclc/28678521","WorldCat Record")</f>
        <v>WorldCat Record</v>
      </c>
    </row>
    <row r="258" spans="1:46" ht="40.5" customHeight="1" x14ac:dyDescent="0.25">
      <c r="A258" s="8" t="s">
        <v>58</v>
      </c>
      <c r="B258" s="2" t="s">
        <v>2375</v>
      </c>
      <c r="C258" s="2" t="s">
        <v>2376</v>
      </c>
      <c r="D258" s="2" t="s">
        <v>2377</v>
      </c>
      <c r="E258" s="3" t="s">
        <v>480</v>
      </c>
      <c r="F258" s="3" t="s">
        <v>115</v>
      </c>
      <c r="G258" s="3" t="s">
        <v>59</v>
      </c>
      <c r="H258" s="3" t="s">
        <v>58</v>
      </c>
      <c r="I258" s="3" t="s">
        <v>58</v>
      </c>
      <c r="J258" s="3" t="s">
        <v>60</v>
      </c>
      <c r="L258" s="2" t="s">
        <v>2378</v>
      </c>
      <c r="M258" s="3" t="s">
        <v>321</v>
      </c>
      <c r="O258" s="3" t="s">
        <v>64</v>
      </c>
      <c r="P258" s="3" t="s">
        <v>755</v>
      </c>
      <c r="R258" s="3" t="s">
        <v>1346</v>
      </c>
      <c r="S258" s="4">
        <v>2</v>
      </c>
      <c r="T258" s="4">
        <v>6</v>
      </c>
      <c r="U258" s="5" t="s">
        <v>2379</v>
      </c>
      <c r="V258" s="5" t="s">
        <v>2379</v>
      </c>
      <c r="W258" s="5" t="s">
        <v>2380</v>
      </c>
      <c r="X258" s="5" t="s">
        <v>2381</v>
      </c>
      <c r="Y258" s="4">
        <v>138</v>
      </c>
      <c r="Z258" s="4">
        <v>118</v>
      </c>
      <c r="AA258" s="4">
        <v>121</v>
      </c>
      <c r="AB258" s="4">
        <v>1</v>
      </c>
      <c r="AC258" s="4">
        <v>1</v>
      </c>
      <c r="AD258" s="4">
        <v>3</v>
      </c>
      <c r="AE258" s="4">
        <v>3</v>
      </c>
      <c r="AF258" s="4">
        <v>1</v>
      </c>
      <c r="AG258" s="4">
        <v>1</v>
      </c>
      <c r="AH258" s="4">
        <v>1</v>
      </c>
      <c r="AI258" s="4">
        <v>1</v>
      </c>
      <c r="AJ258" s="4">
        <v>1</v>
      </c>
      <c r="AK258" s="4">
        <v>1</v>
      </c>
      <c r="AL258" s="4">
        <v>0</v>
      </c>
      <c r="AM258" s="4">
        <v>0</v>
      </c>
      <c r="AN258" s="4">
        <v>0</v>
      </c>
      <c r="AO258" s="4">
        <v>0</v>
      </c>
      <c r="AP258" s="3" t="s">
        <v>58</v>
      </c>
      <c r="AQ258" s="3" t="s">
        <v>115</v>
      </c>
      <c r="AR258" s="6" t="str">
        <f>HYPERLINK("http://catalog.hathitrust.org/Record/000188097","HathiTrust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T258" s="6" t="str">
        <f>HYPERLINK("http://www.worldcat.org/oclc/3710703","WorldCat Record")</f>
        <v>WorldCat Record</v>
      </c>
    </row>
    <row r="259" spans="1:46" ht="40.5" customHeight="1" x14ac:dyDescent="0.25">
      <c r="A259" s="8" t="s">
        <v>58</v>
      </c>
      <c r="B259" s="2" t="s">
        <v>2375</v>
      </c>
      <c r="C259" s="2" t="s">
        <v>2376</v>
      </c>
      <c r="D259" s="2" t="s">
        <v>2377</v>
      </c>
      <c r="E259" s="3" t="s">
        <v>492</v>
      </c>
      <c r="F259" s="3" t="s">
        <v>115</v>
      </c>
      <c r="G259" s="3" t="s">
        <v>59</v>
      </c>
      <c r="H259" s="3" t="s">
        <v>58</v>
      </c>
      <c r="I259" s="3" t="s">
        <v>58</v>
      </c>
      <c r="J259" s="3" t="s">
        <v>60</v>
      </c>
      <c r="L259" s="2" t="s">
        <v>2378</v>
      </c>
      <c r="M259" s="3" t="s">
        <v>321</v>
      </c>
      <c r="O259" s="3" t="s">
        <v>64</v>
      </c>
      <c r="P259" s="3" t="s">
        <v>755</v>
      </c>
      <c r="R259" s="3" t="s">
        <v>1346</v>
      </c>
      <c r="S259" s="4">
        <v>1</v>
      </c>
      <c r="T259" s="4">
        <v>6</v>
      </c>
      <c r="U259" s="5" t="s">
        <v>2379</v>
      </c>
      <c r="V259" s="5" t="s">
        <v>2379</v>
      </c>
      <c r="W259" s="5" t="s">
        <v>2380</v>
      </c>
      <c r="X259" s="5" t="s">
        <v>2381</v>
      </c>
      <c r="Y259" s="4">
        <v>138</v>
      </c>
      <c r="Z259" s="4">
        <v>118</v>
      </c>
      <c r="AA259" s="4">
        <v>121</v>
      </c>
      <c r="AB259" s="4">
        <v>1</v>
      </c>
      <c r="AC259" s="4">
        <v>1</v>
      </c>
      <c r="AD259" s="4">
        <v>3</v>
      </c>
      <c r="AE259" s="4">
        <v>3</v>
      </c>
      <c r="AF259" s="4">
        <v>1</v>
      </c>
      <c r="AG259" s="4">
        <v>1</v>
      </c>
      <c r="AH259" s="4">
        <v>1</v>
      </c>
      <c r="AI259" s="4">
        <v>1</v>
      </c>
      <c r="AJ259" s="4">
        <v>1</v>
      </c>
      <c r="AK259" s="4">
        <v>1</v>
      </c>
      <c r="AL259" s="4">
        <v>0</v>
      </c>
      <c r="AM259" s="4">
        <v>0</v>
      </c>
      <c r="AN259" s="4">
        <v>0</v>
      </c>
      <c r="AO259" s="4">
        <v>0</v>
      </c>
      <c r="AP259" s="3" t="s">
        <v>58</v>
      </c>
      <c r="AQ259" s="3" t="s">
        <v>115</v>
      </c>
      <c r="AR259" s="6" t="str">
        <f>HYPERLINK("http://catalog.hathitrust.org/Record/000188097","HathiTrust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T259" s="6" t="str">
        <f>HYPERLINK("http://www.worldcat.org/oclc/3710703","WorldCat Record")</f>
        <v>WorldCat Record</v>
      </c>
    </row>
    <row r="260" spans="1:46" ht="40.5" customHeight="1" x14ac:dyDescent="0.25">
      <c r="A260" s="8" t="s">
        <v>58</v>
      </c>
      <c r="B260" s="2" t="s">
        <v>2375</v>
      </c>
      <c r="C260" s="2" t="s">
        <v>2376</v>
      </c>
      <c r="D260" s="2" t="s">
        <v>2377</v>
      </c>
      <c r="E260" s="3" t="s">
        <v>2382</v>
      </c>
      <c r="F260" s="3" t="s">
        <v>115</v>
      </c>
      <c r="G260" s="3" t="s">
        <v>59</v>
      </c>
      <c r="H260" s="3" t="s">
        <v>58</v>
      </c>
      <c r="I260" s="3" t="s">
        <v>58</v>
      </c>
      <c r="J260" s="3" t="s">
        <v>60</v>
      </c>
      <c r="L260" s="2" t="s">
        <v>2378</v>
      </c>
      <c r="M260" s="3" t="s">
        <v>321</v>
      </c>
      <c r="O260" s="3" t="s">
        <v>64</v>
      </c>
      <c r="P260" s="3" t="s">
        <v>755</v>
      </c>
      <c r="R260" s="3" t="s">
        <v>1346</v>
      </c>
      <c r="S260" s="4">
        <v>3</v>
      </c>
      <c r="T260" s="4">
        <v>6</v>
      </c>
      <c r="U260" s="5" t="s">
        <v>2379</v>
      </c>
      <c r="V260" s="5" t="s">
        <v>2379</v>
      </c>
      <c r="W260" s="5" t="s">
        <v>2381</v>
      </c>
      <c r="X260" s="5" t="s">
        <v>2381</v>
      </c>
      <c r="Y260" s="4">
        <v>138</v>
      </c>
      <c r="Z260" s="4">
        <v>118</v>
      </c>
      <c r="AA260" s="4">
        <v>121</v>
      </c>
      <c r="AB260" s="4">
        <v>1</v>
      </c>
      <c r="AC260" s="4">
        <v>1</v>
      </c>
      <c r="AD260" s="4">
        <v>3</v>
      </c>
      <c r="AE260" s="4">
        <v>3</v>
      </c>
      <c r="AF260" s="4">
        <v>1</v>
      </c>
      <c r="AG260" s="4">
        <v>1</v>
      </c>
      <c r="AH260" s="4">
        <v>1</v>
      </c>
      <c r="AI260" s="4">
        <v>1</v>
      </c>
      <c r="AJ260" s="4">
        <v>1</v>
      </c>
      <c r="AK260" s="4">
        <v>1</v>
      </c>
      <c r="AL260" s="4">
        <v>0</v>
      </c>
      <c r="AM260" s="4">
        <v>0</v>
      </c>
      <c r="AN260" s="4">
        <v>0</v>
      </c>
      <c r="AO260" s="4">
        <v>0</v>
      </c>
      <c r="AP260" s="3" t="s">
        <v>58</v>
      </c>
      <c r="AQ260" s="3" t="s">
        <v>115</v>
      </c>
      <c r="AR260" s="6" t="str">
        <f>HYPERLINK("http://catalog.hathitrust.org/Record/000188097","HathiTrust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T260" s="6" t="str">
        <f>HYPERLINK("http://www.worldcat.org/oclc/3710703","WorldCat Record")</f>
        <v>WorldCat Record</v>
      </c>
    </row>
    <row r="261" spans="1:46" ht="40.5" customHeight="1" x14ac:dyDescent="0.25">
      <c r="A261" s="8" t="s">
        <v>58</v>
      </c>
      <c r="B261" s="2" t="s">
        <v>2383</v>
      </c>
      <c r="C261" s="2" t="s">
        <v>2384</v>
      </c>
      <c r="D261" s="2" t="s">
        <v>2385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2386</v>
      </c>
      <c r="L261" s="2" t="s">
        <v>2387</v>
      </c>
      <c r="M261" s="3" t="s">
        <v>321</v>
      </c>
      <c r="O261" s="3" t="s">
        <v>64</v>
      </c>
      <c r="P261" s="3" t="s">
        <v>65</v>
      </c>
      <c r="R261" s="3" t="s">
        <v>1346</v>
      </c>
      <c r="S261" s="4">
        <v>3</v>
      </c>
      <c r="T261" s="4">
        <v>3</v>
      </c>
      <c r="U261" s="5" t="s">
        <v>2388</v>
      </c>
      <c r="V261" s="5" t="s">
        <v>2388</v>
      </c>
      <c r="W261" s="5" t="s">
        <v>2335</v>
      </c>
      <c r="X261" s="5" t="s">
        <v>2335</v>
      </c>
      <c r="Y261" s="4">
        <v>25</v>
      </c>
      <c r="Z261" s="4">
        <v>21</v>
      </c>
      <c r="AA261" s="4">
        <v>21</v>
      </c>
      <c r="AB261" s="4">
        <v>1</v>
      </c>
      <c r="AC261" s="4">
        <v>1</v>
      </c>
      <c r="AD261" s="4">
        <v>3</v>
      </c>
      <c r="AE261" s="4">
        <v>3</v>
      </c>
      <c r="AF261" s="4">
        <v>2</v>
      </c>
      <c r="AG261" s="4">
        <v>2</v>
      </c>
      <c r="AH261" s="4">
        <v>2</v>
      </c>
      <c r="AI261" s="4">
        <v>2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HYPERLINK("https://creighton-primo.hosted.exlibrisgroup.com/primo-explore/search?tab=default_tab&amp;search_scope=EVERYTHING&amp;vid=01CRU&amp;lang=en_US&amp;offset=0&amp;query=any,contains,991000952749702656","Catalog Record")</f>
        <v>Catalog Record</v>
      </c>
      <c r="AT261" s="6" t="str">
        <f>HYPERLINK("http://www.worldcat.org/oclc/3304014","WorldCat Record")</f>
        <v>WorldCat Record</v>
      </c>
    </row>
    <row r="262" spans="1:46" ht="40.5" customHeight="1" x14ac:dyDescent="0.25">
      <c r="A262" s="8" t="s">
        <v>58</v>
      </c>
      <c r="B262" s="2" t="s">
        <v>2389</v>
      </c>
      <c r="C262" s="2" t="s">
        <v>2390</v>
      </c>
      <c r="D262" s="2" t="s">
        <v>2391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L262" s="2" t="s">
        <v>2392</v>
      </c>
      <c r="M262" s="3" t="s">
        <v>1511</v>
      </c>
      <c r="N262" s="2" t="s">
        <v>2393</v>
      </c>
      <c r="O262" s="3" t="s">
        <v>64</v>
      </c>
      <c r="P262" s="3" t="s">
        <v>2394</v>
      </c>
      <c r="R262" s="3" t="s">
        <v>1346</v>
      </c>
      <c r="S262" s="4">
        <v>55</v>
      </c>
      <c r="T262" s="4">
        <v>55</v>
      </c>
      <c r="U262" s="5" t="s">
        <v>2395</v>
      </c>
      <c r="V262" s="5" t="s">
        <v>2395</v>
      </c>
      <c r="W262" s="5" t="s">
        <v>2396</v>
      </c>
      <c r="X262" s="5" t="s">
        <v>2396</v>
      </c>
      <c r="Y262" s="4">
        <v>125</v>
      </c>
      <c r="Z262" s="4">
        <v>73</v>
      </c>
      <c r="AA262" s="4">
        <v>226</v>
      </c>
      <c r="AB262" s="4">
        <v>1</v>
      </c>
      <c r="AC262" s="4">
        <v>2</v>
      </c>
      <c r="AD262" s="4">
        <v>2</v>
      </c>
      <c r="AE262" s="4">
        <v>12</v>
      </c>
      <c r="AF262" s="4">
        <v>0</v>
      </c>
      <c r="AG262" s="4">
        <v>5</v>
      </c>
      <c r="AH262" s="4">
        <v>1</v>
      </c>
      <c r="AI262" s="4">
        <v>3</v>
      </c>
      <c r="AJ262" s="4">
        <v>1</v>
      </c>
      <c r="AK262" s="4">
        <v>4</v>
      </c>
      <c r="AL262" s="4">
        <v>0</v>
      </c>
      <c r="AM262" s="4">
        <v>1</v>
      </c>
      <c r="AN262" s="4">
        <v>0</v>
      </c>
      <c r="AO262" s="4">
        <v>0</v>
      </c>
      <c r="AP262" s="3" t="s">
        <v>58</v>
      </c>
      <c r="AQ262" s="3" t="s">
        <v>115</v>
      </c>
      <c r="AR262" s="6" t="str">
        <f>HYPERLINK("http://catalog.hathitrust.org/Record/001839821","HathiTrust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HYPERLINK("https://creighton-primo.hosted.exlibrisgroup.com/primo-explore/search?tab=default_tab&amp;search_scope=EVERYTHING&amp;vid=01CRU&amp;lang=en_US&amp;offset=0&amp;query=any,contains,991001367579702656","Catalog Record")</f>
        <v>Catalog Record</v>
      </c>
      <c r="AT262" s="6" t="str">
        <f>HYPERLINK("http://www.worldcat.org/oclc/20161509","WorldCat Record")</f>
        <v>WorldCat Record</v>
      </c>
    </row>
    <row r="263" spans="1:46" ht="40.5" customHeight="1" x14ac:dyDescent="0.25">
      <c r="A263" s="8" t="s">
        <v>58</v>
      </c>
      <c r="B263" s="2" t="s">
        <v>2397</v>
      </c>
      <c r="C263" s="2" t="s">
        <v>2398</v>
      </c>
      <c r="D263" s="2" t="s">
        <v>2399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L263" s="2" t="s">
        <v>2400</v>
      </c>
      <c r="M263" s="3" t="s">
        <v>1122</v>
      </c>
      <c r="N263" s="2" t="s">
        <v>2401</v>
      </c>
      <c r="O263" s="3" t="s">
        <v>64</v>
      </c>
      <c r="P263" s="3" t="s">
        <v>1355</v>
      </c>
      <c r="R263" s="3" t="s">
        <v>1346</v>
      </c>
      <c r="S263" s="4">
        <v>33</v>
      </c>
      <c r="T263" s="4">
        <v>33</v>
      </c>
      <c r="U263" s="5" t="s">
        <v>2402</v>
      </c>
      <c r="V263" s="5" t="s">
        <v>2402</v>
      </c>
      <c r="W263" s="5" t="s">
        <v>1812</v>
      </c>
      <c r="X263" s="5" t="s">
        <v>1812</v>
      </c>
      <c r="Y263" s="4">
        <v>327</v>
      </c>
      <c r="Z263" s="4">
        <v>193</v>
      </c>
      <c r="AA263" s="4">
        <v>539</v>
      </c>
      <c r="AB263" s="4">
        <v>1</v>
      </c>
      <c r="AC263" s="4">
        <v>3</v>
      </c>
      <c r="AD263" s="4">
        <v>3</v>
      </c>
      <c r="AE263" s="4">
        <v>16</v>
      </c>
      <c r="AF263" s="4">
        <v>2</v>
      </c>
      <c r="AG263" s="4">
        <v>7</v>
      </c>
      <c r="AH263" s="4">
        <v>2</v>
      </c>
      <c r="AI263" s="4">
        <v>2</v>
      </c>
      <c r="AJ263" s="4">
        <v>0</v>
      </c>
      <c r="AK263" s="4">
        <v>7</v>
      </c>
      <c r="AL263" s="4">
        <v>0</v>
      </c>
      <c r="AM263" s="4">
        <v>2</v>
      </c>
      <c r="AN263" s="4">
        <v>0</v>
      </c>
      <c r="AO263" s="4">
        <v>0</v>
      </c>
      <c r="AP263" s="3" t="s">
        <v>58</v>
      </c>
      <c r="AQ263" s="3" t="s">
        <v>115</v>
      </c>
      <c r="AR263" s="6" t="str">
        <f>HYPERLINK("http://catalog.hathitrust.org/Record/002170831","HathiTrust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HYPERLINK("https://creighton-primo.hosted.exlibrisgroup.com/primo-explore/search?tab=default_tab&amp;search_scope=EVERYTHING&amp;vid=01CRU&amp;lang=en_US&amp;offset=0&amp;query=any,contains,991000821779702656","Catalog Record")</f>
        <v>Catalog Record</v>
      </c>
      <c r="AT263" s="6" t="str">
        <f>HYPERLINK("http://www.worldcat.org/oclc/21226640","WorldCat Record")</f>
        <v>WorldCat Record</v>
      </c>
    </row>
    <row r="264" spans="1:46" ht="40.5" customHeight="1" x14ac:dyDescent="0.25">
      <c r="A264" s="8" t="s">
        <v>58</v>
      </c>
      <c r="B264" s="2" t="s">
        <v>2403</v>
      </c>
      <c r="C264" s="2" t="s">
        <v>2404</v>
      </c>
      <c r="D264" s="2" t="s">
        <v>2405</v>
      </c>
      <c r="E264" s="3" t="s">
        <v>2406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L264" s="2" t="s">
        <v>2407</v>
      </c>
      <c r="M264" s="3" t="s">
        <v>1702</v>
      </c>
      <c r="O264" s="3" t="s">
        <v>64</v>
      </c>
      <c r="P264" s="3" t="s">
        <v>65</v>
      </c>
      <c r="Q264" s="2" t="s">
        <v>2408</v>
      </c>
      <c r="R264" s="3" t="s">
        <v>1346</v>
      </c>
      <c r="S264" s="4">
        <v>21</v>
      </c>
      <c r="T264" s="4">
        <v>21</v>
      </c>
      <c r="U264" s="5" t="s">
        <v>2409</v>
      </c>
      <c r="V264" s="5" t="s">
        <v>2409</v>
      </c>
      <c r="W264" s="5" t="s">
        <v>2410</v>
      </c>
      <c r="X264" s="5" t="s">
        <v>2410</v>
      </c>
      <c r="Y264" s="4">
        <v>100</v>
      </c>
      <c r="Z264" s="4">
        <v>77</v>
      </c>
      <c r="AA264" s="4">
        <v>79</v>
      </c>
      <c r="AB264" s="4">
        <v>2</v>
      </c>
      <c r="AC264" s="4">
        <v>2</v>
      </c>
      <c r="AD264" s="4">
        <v>5</v>
      </c>
      <c r="AE264" s="4">
        <v>5</v>
      </c>
      <c r="AF264" s="4">
        <v>2</v>
      </c>
      <c r="AG264" s="4">
        <v>2</v>
      </c>
      <c r="AH264" s="4">
        <v>2</v>
      </c>
      <c r="AI264" s="4">
        <v>2</v>
      </c>
      <c r="AJ264" s="4">
        <v>2</v>
      </c>
      <c r="AK264" s="4">
        <v>2</v>
      </c>
      <c r="AL264" s="4">
        <v>1</v>
      </c>
      <c r="AM264" s="4">
        <v>1</v>
      </c>
      <c r="AN264" s="4">
        <v>0</v>
      </c>
      <c r="AO264" s="4">
        <v>0</v>
      </c>
      <c r="AP264" s="3" t="s">
        <v>58</v>
      </c>
      <c r="AQ264" s="3" t="s">
        <v>115</v>
      </c>
      <c r="AR264" s="6" t="str">
        <f>HYPERLINK("http://catalog.hathitrust.org/Record/000242161","HathiTrust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HYPERLINK("https://creighton-primo.hosted.exlibrisgroup.com/primo-explore/search?tab=default_tab&amp;search_scope=EVERYTHING&amp;vid=01CRU&amp;lang=en_US&amp;offset=0&amp;query=any,contains,991000984879702656","Catalog Record")</f>
        <v>Catalog Record</v>
      </c>
      <c r="AT264" s="6" t="str">
        <f>HYPERLINK("http://www.worldcat.org/oclc/2486308","WorldCat Record")</f>
        <v>WorldCat Record</v>
      </c>
    </row>
    <row r="265" spans="1:46" ht="40.5" customHeight="1" x14ac:dyDescent="0.25">
      <c r="A265" s="8" t="s">
        <v>58</v>
      </c>
      <c r="B265" s="2" t="s">
        <v>2411</v>
      </c>
      <c r="C265" s="2" t="s">
        <v>2412</v>
      </c>
      <c r="D265" s="2" t="s">
        <v>2413</v>
      </c>
      <c r="E265" s="3" t="s">
        <v>2414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L265" s="2" t="s">
        <v>2415</v>
      </c>
      <c r="M265" s="3" t="s">
        <v>1122</v>
      </c>
      <c r="O265" s="3" t="s">
        <v>64</v>
      </c>
      <c r="P265" s="3" t="s">
        <v>1355</v>
      </c>
      <c r="Q265" s="2" t="s">
        <v>2416</v>
      </c>
      <c r="R265" s="3" t="s">
        <v>1346</v>
      </c>
      <c r="S265" s="4">
        <v>10</v>
      </c>
      <c r="T265" s="4">
        <v>10</v>
      </c>
      <c r="U265" s="5" t="s">
        <v>2417</v>
      </c>
      <c r="V265" s="5" t="s">
        <v>2417</v>
      </c>
      <c r="W265" s="5" t="s">
        <v>2418</v>
      </c>
      <c r="X265" s="5" t="s">
        <v>2418</v>
      </c>
      <c r="Y265" s="4">
        <v>75</v>
      </c>
      <c r="Z265" s="4">
        <v>58</v>
      </c>
      <c r="AA265" s="4">
        <v>59</v>
      </c>
      <c r="AB265" s="4">
        <v>1</v>
      </c>
      <c r="AC265" s="4">
        <v>1</v>
      </c>
      <c r="AD265" s="4">
        <v>3</v>
      </c>
      <c r="AE265" s="4">
        <v>3</v>
      </c>
      <c r="AF265" s="4">
        <v>2</v>
      </c>
      <c r="AG265" s="4">
        <v>2</v>
      </c>
      <c r="AH265" s="4">
        <v>0</v>
      </c>
      <c r="AI265" s="4">
        <v>0</v>
      </c>
      <c r="AJ265" s="4">
        <v>1</v>
      </c>
      <c r="AK265" s="4">
        <v>1</v>
      </c>
      <c r="AL265" s="4">
        <v>0</v>
      </c>
      <c r="AM265" s="4">
        <v>0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HYPERLINK("https://creighton-primo.hosted.exlibrisgroup.com/primo-explore/search?tab=default_tab&amp;search_scope=EVERYTHING&amp;vid=01CRU&amp;lang=en_US&amp;offset=0&amp;query=any,contains,991001451099702656","Catalog Record")</f>
        <v>Catalog Record</v>
      </c>
      <c r="AT265" s="6" t="str">
        <f>HYPERLINK("http://www.worldcat.org/oclc/20491813","WorldCat Record")</f>
        <v>WorldCat Record</v>
      </c>
    </row>
    <row r="266" spans="1:46" ht="40.5" customHeight="1" x14ac:dyDescent="0.25">
      <c r="A266" s="8" t="s">
        <v>58</v>
      </c>
      <c r="B266" s="2" t="s">
        <v>2419</v>
      </c>
      <c r="C266" s="2" t="s">
        <v>2420</v>
      </c>
      <c r="D266" s="2" t="s">
        <v>2421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L266" s="2" t="s">
        <v>2422</v>
      </c>
      <c r="M266" s="3" t="s">
        <v>993</v>
      </c>
      <c r="O266" s="3" t="s">
        <v>64</v>
      </c>
      <c r="P266" s="3" t="s">
        <v>96</v>
      </c>
      <c r="Q266" s="2" t="s">
        <v>2423</v>
      </c>
      <c r="R266" s="3" t="s">
        <v>1346</v>
      </c>
      <c r="S266" s="4">
        <v>13</v>
      </c>
      <c r="T266" s="4">
        <v>13</v>
      </c>
      <c r="U266" s="5" t="s">
        <v>2424</v>
      </c>
      <c r="V266" s="5" t="s">
        <v>2424</v>
      </c>
      <c r="W266" s="5" t="s">
        <v>2425</v>
      </c>
      <c r="X266" s="5" t="s">
        <v>2425</v>
      </c>
      <c r="Y266" s="4">
        <v>206</v>
      </c>
      <c r="Z266" s="4">
        <v>133</v>
      </c>
      <c r="AA266" s="4">
        <v>181</v>
      </c>
      <c r="AB266" s="4">
        <v>2</v>
      </c>
      <c r="AC266" s="4">
        <v>3</v>
      </c>
      <c r="AD266" s="4">
        <v>2</v>
      </c>
      <c r="AE266" s="4">
        <v>4</v>
      </c>
      <c r="AF266" s="4">
        <v>0</v>
      </c>
      <c r="AG266" s="4">
        <v>1</v>
      </c>
      <c r="AH266" s="4">
        <v>0</v>
      </c>
      <c r="AI266" s="4">
        <v>0</v>
      </c>
      <c r="AJ266" s="4">
        <v>1</v>
      </c>
      <c r="AK266" s="4">
        <v>1</v>
      </c>
      <c r="AL266" s="4">
        <v>1</v>
      </c>
      <c r="AM266" s="4">
        <v>2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HYPERLINK("https://creighton-primo.hosted.exlibrisgroup.com/primo-explore/search?tab=default_tab&amp;search_scope=EVERYTHING&amp;vid=01CRU&amp;lang=en_US&amp;offset=0&amp;query=any,contains,991001406419702656","Catalog Record")</f>
        <v>Catalog Record</v>
      </c>
      <c r="AT266" s="6" t="str">
        <f>HYPERLINK("http://www.worldcat.org/oclc/40120334","WorldCat Record")</f>
        <v>WorldCat Record</v>
      </c>
    </row>
    <row r="267" spans="1:46" ht="40.5" customHeight="1" x14ac:dyDescent="0.25">
      <c r="A267" s="8" t="s">
        <v>58</v>
      </c>
      <c r="B267" s="2" t="s">
        <v>2426</v>
      </c>
      <c r="C267" s="2" t="s">
        <v>2427</v>
      </c>
      <c r="D267" s="2" t="s">
        <v>2428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L267" s="2" t="s">
        <v>2429</v>
      </c>
      <c r="M267" s="3" t="s">
        <v>483</v>
      </c>
      <c r="O267" s="3" t="s">
        <v>64</v>
      </c>
      <c r="P267" s="3" t="s">
        <v>65</v>
      </c>
      <c r="R267" s="3" t="s">
        <v>1346</v>
      </c>
      <c r="S267" s="4">
        <v>9</v>
      </c>
      <c r="T267" s="4">
        <v>9</v>
      </c>
      <c r="U267" s="5" t="s">
        <v>2342</v>
      </c>
      <c r="V267" s="5" t="s">
        <v>2342</v>
      </c>
      <c r="W267" s="5" t="s">
        <v>2430</v>
      </c>
      <c r="X267" s="5" t="s">
        <v>2430</v>
      </c>
      <c r="Y267" s="4">
        <v>303</v>
      </c>
      <c r="Z267" s="4">
        <v>246</v>
      </c>
      <c r="AA267" s="4">
        <v>248</v>
      </c>
      <c r="AB267" s="4">
        <v>3</v>
      </c>
      <c r="AC267" s="4">
        <v>3</v>
      </c>
      <c r="AD267" s="4">
        <v>9</v>
      </c>
      <c r="AE267" s="4">
        <v>9</v>
      </c>
      <c r="AF267" s="4">
        <v>1</v>
      </c>
      <c r="AG267" s="4">
        <v>1</v>
      </c>
      <c r="AH267" s="4">
        <v>3</v>
      </c>
      <c r="AI267" s="4">
        <v>3</v>
      </c>
      <c r="AJ267" s="4">
        <v>5</v>
      </c>
      <c r="AK267" s="4">
        <v>5</v>
      </c>
      <c r="AL267" s="4">
        <v>2</v>
      </c>
      <c r="AM267" s="4">
        <v>2</v>
      </c>
      <c r="AN267" s="4">
        <v>0</v>
      </c>
      <c r="AO267" s="4">
        <v>0</v>
      </c>
      <c r="AP267" s="3" t="s">
        <v>58</v>
      </c>
      <c r="AQ267" s="3" t="s">
        <v>115</v>
      </c>
      <c r="AR267" s="6" t="str">
        <f>HYPERLINK("http://catalog.hathitrust.org/Record/000030269","HathiTrust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HYPERLINK("https://creighton-primo.hosted.exlibrisgroup.com/primo-explore/search?tab=default_tab&amp;search_scope=EVERYTHING&amp;vid=01CRU&amp;lang=en_US&amp;offset=0&amp;query=any,contains,991000952719702656","Catalog Record")</f>
        <v>Catalog Record</v>
      </c>
      <c r="AT267" s="6" t="str">
        <f>HYPERLINK("http://www.worldcat.org/oclc/4503551","WorldCat Record")</f>
        <v>WorldCat Record</v>
      </c>
    </row>
    <row r="268" spans="1:46" ht="40.5" customHeight="1" x14ac:dyDescent="0.25">
      <c r="A268" s="8" t="s">
        <v>58</v>
      </c>
      <c r="B268" s="2" t="s">
        <v>2431</v>
      </c>
      <c r="C268" s="2" t="s">
        <v>2432</v>
      </c>
      <c r="D268" s="2" t="s">
        <v>2433</v>
      </c>
      <c r="F268" s="3" t="s">
        <v>58</v>
      </c>
      <c r="G268" s="3" t="s">
        <v>59</v>
      </c>
      <c r="H268" s="3" t="s">
        <v>58</v>
      </c>
      <c r="I268" s="3" t="s">
        <v>115</v>
      </c>
      <c r="J268" s="3" t="s">
        <v>60</v>
      </c>
      <c r="K268" s="2" t="s">
        <v>2434</v>
      </c>
      <c r="L268" s="2" t="s">
        <v>2435</v>
      </c>
      <c r="M268" s="3" t="s">
        <v>81</v>
      </c>
      <c r="N268" s="2" t="s">
        <v>143</v>
      </c>
      <c r="O268" s="3" t="s">
        <v>64</v>
      </c>
      <c r="P268" s="3" t="s">
        <v>291</v>
      </c>
      <c r="R268" s="3" t="s">
        <v>1346</v>
      </c>
      <c r="S268" s="4">
        <v>31</v>
      </c>
      <c r="T268" s="4">
        <v>31</v>
      </c>
      <c r="U268" s="5" t="s">
        <v>2436</v>
      </c>
      <c r="V268" s="5" t="s">
        <v>2436</v>
      </c>
      <c r="W268" s="5" t="s">
        <v>2335</v>
      </c>
      <c r="X268" s="5" t="s">
        <v>2335</v>
      </c>
      <c r="Y268" s="4">
        <v>82</v>
      </c>
      <c r="Z268" s="4">
        <v>63</v>
      </c>
      <c r="AA268" s="4">
        <v>264</v>
      </c>
      <c r="AB268" s="4">
        <v>1</v>
      </c>
      <c r="AC268" s="4">
        <v>2</v>
      </c>
      <c r="AD268" s="4">
        <v>0</v>
      </c>
      <c r="AE268" s="4">
        <v>12</v>
      </c>
      <c r="AF268" s="4">
        <v>0</v>
      </c>
      <c r="AG268" s="4">
        <v>8</v>
      </c>
      <c r="AH268" s="4">
        <v>0</v>
      </c>
      <c r="AI268" s="4">
        <v>3</v>
      </c>
      <c r="AJ268" s="4">
        <v>0</v>
      </c>
      <c r="AK268" s="4">
        <v>3</v>
      </c>
      <c r="AL268" s="4">
        <v>0</v>
      </c>
      <c r="AM268" s="4">
        <v>1</v>
      </c>
      <c r="AN268" s="4">
        <v>0</v>
      </c>
      <c r="AO268" s="4">
        <v>0</v>
      </c>
      <c r="AP268" s="3" t="s">
        <v>58</v>
      </c>
      <c r="AQ268" s="3" t="s">
        <v>115</v>
      </c>
      <c r="AR268" s="6" t="str">
        <f>HYPERLINK("http://catalog.hathitrust.org/Record/000182270","HathiTrust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HYPERLINK("https://creighton-primo.hosted.exlibrisgroup.com/primo-explore/search?tab=default_tab&amp;search_scope=EVERYTHING&amp;vid=01CRU&amp;lang=en_US&amp;offset=0&amp;query=any,contains,991000952679702656","Catalog Record")</f>
        <v>Catalog Record</v>
      </c>
      <c r="AT268" s="6" t="str">
        <f>HYPERLINK("http://www.worldcat.org/oclc/8051174","WorldCat Record")</f>
        <v>WorldCat Record</v>
      </c>
    </row>
    <row r="269" spans="1:46" ht="40.5" customHeight="1" x14ac:dyDescent="0.25">
      <c r="A269" s="8" t="s">
        <v>58</v>
      </c>
      <c r="B269" s="2" t="s">
        <v>2437</v>
      </c>
      <c r="C269" s="2" t="s">
        <v>2438</v>
      </c>
      <c r="D269" s="2" t="s">
        <v>2439</v>
      </c>
      <c r="F269" s="3" t="s">
        <v>58</v>
      </c>
      <c r="G269" s="3" t="s">
        <v>59</v>
      </c>
      <c r="H269" s="3" t="s">
        <v>58</v>
      </c>
      <c r="I269" s="3" t="s">
        <v>115</v>
      </c>
      <c r="J269" s="3" t="s">
        <v>60</v>
      </c>
      <c r="K269" s="2" t="s">
        <v>2440</v>
      </c>
      <c r="L269" s="2" t="s">
        <v>2441</v>
      </c>
      <c r="M269" s="3" t="s">
        <v>2202</v>
      </c>
      <c r="N269" s="2" t="s">
        <v>1354</v>
      </c>
      <c r="O269" s="3" t="s">
        <v>64</v>
      </c>
      <c r="P269" s="3" t="s">
        <v>144</v>
      </c>
      <c r="R269" s="3" t="s">
        <v>1346</v>
      </c>
      <c r="S269" s="4">
        <v>18</v>
      </c>
      <c r="T269" s="4">
        <v>18</v>
      </c>
      <c r="U269" s="5" t="s">
        <v>2442</v>
      </c>
      <c r="V269" s="5" t="s">
        <v>2442</v>
      </c>
      <c r="W269" s="5" t="s">
        <v>2443</v>
      </c>
      <c r="X269" s="5" t="s">
        <v>2443</v>
      </c>
      <c r="Y269" s="4">
        <v>149</v>
      </c>
      <c r="Z269" s="4">
        <v>113</v>
      </c>
      <c r="AA269" s="4">
        <v>526</v>
      </c>
      <c r="AB269" s="4">
        <v>1</v>
      </c>
      <c r="AC269" s="4">
        <v>3</v>
      </c>
      <c r="AD269" s="4">
        <v>4</v>
      </c>
      <c r="AE269" s="4">
        <v>13</v>
      </c>
      <c r="AF269" s="4">
        <v>3</v>
      </c>
      <c r="AG269" s="4">
        <v>5</v>
      </c>
      <c r="AH269" s="4">
        <v>1</v>
      </c>
      <c r="AI269" s="4">
        <v>4</v>
      </c>
      <c r="AJ269" s="4">
        <v>1</v>
      </c>
      <c r="AK269" s="4">
        <v>6</v>
      </c>
      <c r="AL269" s="4">
        <v>0</v>
      </c>
      <c r="AM269" s="4">
        <v>2</v>
      </c>
      <c r="AN269" s="4">
        <v>0</v>
      </c>
      <c r="AO269" s="4">
        <v>0</v>
      </c>
      <c r="AP269" s="3" t="s">
        <v>58</v>
      </c>
      <c r="AQ269" s="3" t="s">
        <v>115</v>
      </c>
      <c r="AR269" s="6" t="str">
        <f>HYPERLINK("http://catalog.hathitrust.org/Record/004068947","HathiTrust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HYPERLINK("https://creighton-primo.hosted.exlibrisgroup.com/primo-explore/search?tab=default_tab&amp;search_scope=EVERYTHING&amp;vid=01CRU&amp;lang=en_US&amp;offset=0&amp;query=any,contains,991001412279702656","Catalog Record")</f>
        <v>Catalog Record</v>
      </c>
      <c r="AT269" s="6" t="str">
        <f>HYPERLINK("http://www.worldcat.org/oclc/41326409","WorldCat Record")</f>
        <v>WorldCat Record</v>
      </c>
    </row>
    <row r="270" spans="1:46" ht="40.5" customHeight="1" x14ac:dyDescent="0.25">
      <c r="A270" s="8" t="s">
        <v>58</v>
      </c>
      <c r="B270" s="2" t="s">
        <v>2444</v>
      </c>
      <c r="C270" s="2" t="s">
        <v>2445</v>
      </c>
      <c r="D270" s="2" t="s">
        <v>2446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K270" s="2" t="s">
        <v>2447</v>
      </c>
      <c r="L270" s="2" t="s">
        <v>2448</v>
      </c>
      <c r="M270" s="3" t="s">
        <v>1511</v>
      </c>
      <c r="O270" s="3" t="s">
        <v>64</v>
      </c>
      <c r="P270" s="3" t="s">
        <v>1355</v>
      </c>
      <c r="R270" s="3" t="s">
        <v>1346</v>
      </c>
      <c r="S270" s="4">
        <v>12</v>
      </c>
      <c r="T270" s="4">
        <v>12</v>
      </c>
      <c r="U270" s="5" t="s">
        <v>2449</v>
      </c>
      <c r="V270" s="5" t="s">
        <v>2449</v>
      </c>
      <c r="W270" s="5" t="s">
        <v>2450</v>
      </c>
      <c r="X270" s="5" t="s">
        <v>2450</v>
      </c>
      <c r="Y270" s="4">
        <v>315</v>
      </c>
      <c r="Z270" s="4">
        <v>277</v>
      </c>
      <c r="AA270" s="4">
        <v>310</v>
      </c>
      <c r="AB270" s="4">
        <v>4</v>
      </c>
      <c r="AC270" s="4">
        <v>4</v>
      </c>
      <c r="AD270" s="4">
        <v>10</v>
      </c>
      <c r="AE270" s="4">
        <v>11</v>
      </c>
      <c r="AF270" s="4">
        <v>3</v>
      </c>
      <c r="AG270" s="4">
        <v>4</v>
      </c>
      <c r="AH270" s="4">
        <v>3</v>
      </c>
      <c r="AI270" s="4">
        <v>3</v>
      </c>
      <c r="AJ270" s="4">
        <v>3</v>
      </c>
      <c r="AK270" s="4">
        <v>4</v>
      </c>
      <c r="AL270" s="4">
        <v>2</v>
      </c>
      <c r="AM270" s="4">
        <v>2</v>
      </c>
      <c r="AN270" s="4">
        <v>0</v>
      </c>
      <c r="AO270" s="4">
        <v>0</v>
      </c>
      <c r="AP270" s="3" t="s">
        <v>58</v>
      </c>
      <c r="AQ270" s="3" t="s">
        <v>115</v>
      </c>
      <c r="AR270" s="6" t="str">
        <f>HYPERLINK("http://catalog.hathitrust.org/Record/000944555","HathiTrust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HYPERLINK("https://creighton-primo.hosted.exlibrisgroup.com/primo-explore/search?tab=default_tab&amp;search_scope=EVERYTHING&amp;vid=01CRU&amp;lang=en_US&amp;offset=0&amp;query=any,contains,991001121329702656","Catalog Record")</f>
        <v>Catalog Record</v>
      </c>
      <c r="AT270" s="6" t="str">
        <f>HYPERLINK("http://www.worldcat.org/oclc/17650456","WorldCat Record")</f>
        <v>WorldCat Record</v>
      </c>
    </row>
    <row r="271" spans="1:46" ht="40.5" customHeight="1" x14ac:dyDescent="0.25">
      <c r="A271" s="8" t="s">
        <v>58</v>
      </c>
      <c r="B271" s="2" t="s">
        <v>2451</v>
      </c>
      <c r="C271" s="2" t="s">
        <v>2452</v>
      </c>
      <c r="D271" s="2" t="s">
        <v>2453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2454</v>
      </c>
      <c r="L271" s="2" t="s">
        <v>2455</v>
      </c>
      <c r="M271" s="3" t="s">
        <v>1511</v>
      </c>
      <c r="O271" s="3" t="s">
        <v>64</v>
      </c>
      <c r="P271" s="3" t="s">
        <v>112</v>
      </c>
      <c r="R271" s="3" t="s">
        <v>1346</v>
      </c>
      <c r="S271" s="4">
        <v>22</v>
      </c>
      <c r="T271" s="4">
        <v>22</v>
      </c>
      <c r="U271" s="5" t="s">
        <v>2456</v>
      </c>
      <c r="V271" s="5" t="s">
        <v>2456</v>
      </c>
      <c r="W271" s="5" t="s">
        <v>2189</v>
      </c>
      <c r="X271" s="5" t="s">
        <v>2189</v>
      </c>
      <c r="Y271" s="4">
        <v>69</v>
      </c>
      <c r="Z271" s="4">
        <v>42</v>
      </c>
      <c r="AA271" s="4">
        <v>46</v>
      </c>
      <c r="AB271" s="4">
        <v>1</v>
      </c>
      <c r="AC271" s="4">
        <v>1</v>
      </c>
      <c r="AD271" s="4">
        <v>1</v>
      </c>
      <c r="AE271" s="4">
        <v>1</v>
      </c>
      <c r="AF271" s="4">
        <v>1</v>
      </c>
      <c r="AG271" s="4">
        <v>1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3" t="s">
        <v>58</v>
      </c>
      <c r="AQ271" s="3" t="s">
        <v>115</v>
      </c>
      <c r="AR271" s="6" t="str">
        <f>HYPERLINK("http://catalog.hathitrust.org/Record/002233084","HathiTrust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HYPERLINK("https://creighton-primo.hosted.exlibrisgroup.com/primo-explore/search?tab=default_tab&amp;search_scope=EVERYTHING&amp;vid=01CRU&amp;lang=en_US&amp;offset=0&amp;query=any,contains,991001361149702656","Catalog Record")</f>
        <v>Catalog Record</v>
      </c>
      <c r="AT271" s="6" t="str">
        <f>HYPERLINK("http://www.worldcat.org/oclc/18833905","WorldCat Record")</f>
        <v>WorldCat Record</v>
      </c>
    </row>
    <row r="272" spans="1:46" ht="40.5" customHeight="1" x14ac:dyDescent="0.25">
      <c r="A272" s="8" t="s">
        <v>58</v>
      </c>
      <c r="B272" s="2" t="s">
        <v>2457</v>
      </c>
      <c r="C272" s="2" t="s">
        <v>2458</v>
      </c>
      <c r="D272" s="2" t="s">
        <v>2459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L272" s="2" t="s">
        <v>2460</v>
      </c>
      <c r="M272" s="3" t="s">
        <v>515</v>
      </c>
      <c r="O272" s="3" t="s">
        <v>64</v>
      </c>
      <c r="P272" s="3" t="s">
        <v>190</v>
      </c>
      <c r="R272" s="3" t="s">
        <v>1346</v>
      </c>
      <c r="S272" s="4">
        <v>10</v>
      </c>
      <c r="T272" s="4">
        <v>10</v>
      </c>
      <c r="U272" s="5" t="s">
        <v>2461</v>
      </c>
      <c r="V272" s="5" t="s">
        <v>2461</v>
      </c>
      <c r="W272" s="5" t="s">
        <v>2335</v>
      </c>
      <c r="X272" s="5" t="s">
        <v>2335</v>
      </c>
      <c r="Y272" s="4">
        <v>145</v>
      </c>
      <c r="Z272" s="4">
        <v>116</v>
      </c>
      <c r="AA272" s="4">
        <v>118</v>
      </c>
      <c r="AB272" s="4">
        <v>1</v>
      </c>
      <c r="AC272" s="4">
        <v>1</v>
      </c>
      <c r="AD272" s="4">
        <v>3</v>
      </c>
      <c r="AE272" s="4">
        <v>3</v>
      </c>
      <c r="AF272" s="4">
        <v>1</v>
      </c>
      <c r="AG272" s="4">
        <v>1</v>
      </c>
      <c r="AH272" s="4">
        <v>2</v>
      </c>
      <c r="AI272" s="4">
        <v>2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3" t="s">
        <v>58</v>
      </c>
      <c r="AQ272" s="3" t="s">
        <v>115</v>
      </c>
      <c r="AR272" s="6" t="str">
        <f>HYPERLINK("http://catalog.hathitrust.org/Record/000376174","HathiTrust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HYPERLINK("https://creighton-primo.hosted.exlibrisgroup.com/primo-explore/search?tab=default_tab&amp;search_scope=EVERYTHING&amp;vid=01CRU&amp;lang=en_US&amp;offset=0&amp;query=any,contains,991000952639702656","Catalog Record")</f>
        <v>Catalog Record</v>
      </c>
      <c r="AT272" s="6" t="str">
        <f>HYPERLINK("http://www.worldcat.org/oclc/12852855","WorldCat Record")</f>
        <v>WorldCat Record</v>
      </c>
    </row>
    <row r="273" spans="1:46" ht="40.5" customHeight="1" x14ac:dyDescent="0.25">
      <c r="A273" s="8" t="s">
        <v>58</v>
      </c>
      <c r="B273" s="2" t="s">
        <v>2462</v>
      </c>
      <c r="C273" s="2" t="s">
        <v>2463</v>
      </c>
      <c r="D273" s="2" t="s">
        <v>2464</v>
      </c>
      <c r="F273" s="3" t="s">
        <v>58</v>
      </c>
      <c r="G273" s="3" t="s">
        <v>59</v>
      </c>
      <c r="H273" s="3" t="s">
        <v>58</v>
      </c>
      <c r="I273" s="3" t="s">
        <v>115</v>
      </c>
      <c r="J273" s="3" t="s">
        <v>1440</v>
      </c>
      <c r="K273" s="2" t="s">
        <v>2465</v>
      </c>
      <c r="L273" s="2" t="s">
        <v>1821</v>
      </c>
      <c r="M273" s="3" t="s">
        <v>408</v>
      </c>
      <c r="N273" s="2" t="s">
        <v>143</v>
      </c>
      <c r="O273" s="3" t="s">
        <v>64</v>
      </c>
      <c r="P273" s="3" t="s">
        <v>1355</v>
      </c>
      <c r="R273" s="3" t="s">
        <v>1346</v>
      </c>
      <c r="S273" s="4">
        <v>43</v>
      </c>
      <c r="T273" s="4">
        <v>43</v>
      </c>
      <c r="U273" s="5" t="s">
        <v>2466</v>
      </c>
      <c r="V273" s="5" t="s">
        <v>2466</v>
      </c>
      <c r="W273" s="5" t="s">
        <v>1436</v>
      </c>
      <c r="X273" s="5" t="s">
        <v>1436</v>
      </c>
      <c r="Y273" s="4">
        <v>114</v>
      </c>
      <c r="Z273" s="4">
        <v>82</v>
      </c>
      <c r="AA273" s="4">
        <v>326</v>
      </c>
      <c r="AB273" s="4">
        <v>1</v>
      </c>
      <c r="AC273" s="4">
        <v>4</v>
      </c>
      <c r="AD273" s="4">
        <v>4</v>
      </c>
      <c r="AE273" s="4">
        <v>14</v>
      </c>
      <c r="AF273" s="4">
        <v>1</v>
      </c>
      <c r="AG273" s="4">
        <v>7</v>
      </c>
      <c r="AH273" s="4">
        <v>2</v>
      </c>
      <c r="AI273" s="4">
        <v>3</v>
      </c>
      <c r="AJ273" s="4">
        <v>1</v>
      </c>
      <c r="AK273" s="4">
        <v>4</v>
      </c>
      <c r="AL273" s="4">
        <v>0</v>
      </c>
      <c r="AM273" s="4">
        <v>3</v>
      </c>
      <c r="AN273" s="4">
        <v>0</v>
      </c>
      <c r="AO273" s="4">
        <v>0</v>
      </c>
      <c r="AP273" s="3" t="s">
        <v>58</v>
      </c>
      <c r="AQ273" s="3" t="s">
        <v>115</v>
      </c>
      <c r="AR273" s="6" t="str">
        <f>HYPERLINK("http://catalog.hathitrust.org/Record/000650518","HathiTrust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HYPERLINK("https://creighton-primo.hosted.exlibrisgroup.com/primo-explore/search?tab=default_tab&amp;search_scope=EVERYTHING&amp;vid=01CRU&amp;lang=en_US&amp;offset=0&amp;query=any,contains,991000747719702656","Catalog Record")</f>
        <v>Catalog Record</v>
      </c>
      <c r="AT273" s="6" t="str">
        <f>HYPERLINK("http://www.worldcat.org/oclc/11677391","WorldCat Record")</f>
        <v>WorldCat Record</v>
      </c>
    </row>
    <row r="274" spans="1:46" ht="40.5" customHeight="1" x14ac:dyDescent="0.25">
      <c r="A274" s="8" t="s">
        <v>58</v>
      </c>
      <c r="B274" s="2" t="s">
        <v>2467</v>
      </c>
      <c r="C274" s="2" t="s">
        <v>2468</v>
      </c>
      <c r="D274" s="2" t="s">
        <v>2469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2470</v>
      </c>
      <c r="L274" s="2" t="s">
        <v>2471</v>
      </c>
      <c r="M274" s="3" t="s">
        <v>628</v>
      </c>
      <c r="O274" s="3" t="s">
        <v>64</v>
      </c>
      <c r="P274" s="3" t="s">
        <v>755</v>
      </c>
      <c r="R274" s="3" t="s">
        <v>1346</v>
      </c>
      <c r="S274" s="4">
        <v>4</v>
      </c>
      <c r="T274" s="4">
        <v>4</v>
      </c>
      <c r="U274" s="5" t="s">
        <v>2472</v>
      </c>
      <c r="V274" s="5" t="s">
        <v>2472</v>
      </c>
      <c r="W274" s="5" t="s">
        <v>2335</v>
      </c>
      <c r="X274" s="5" t="s">
        <v>2335</v>
      </c>
      <c r="Y274" s="4">
        <v>88</v>
      </c>
      <c r="Z274" s="4">
        <v>60</v>
      </c>
      <c r="AA274" s="4">
        <v>60</v>
      </c>
      <c r="AB274" s="4">
        <v>1</v>
      </c>
      <c r="AC274" s="4">
        <v>1</v>
      </c>
      <c r="AD274" s="4">
        <v>1</v>
      </c>
      <c r="AE274" s="4">
        <v>1</v>
      </c>
      <c r="AF274" s="4">
        <v>0</v>
      </c>
      <c r="AG274" s="4">
        <v>0</v>
      </c>
      <c r="AH274" s="4">
        <v>1</v>
      </c>
      <c r="AI274" s="4">
        <v>1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HYPERLINK("https://creighton-primo.hosted.exlibrisgroup.com/primo-explore/search?tab=default_tab&amp;search_scope=EVERYTHING&amp;vid=01CRU&amp;lang=en_US&amp;offset=0&amp;query=any,contains,991000952999702656","Catalog Record")</f>
        <v>Catalog Record</v>
      </c>
      <c r="AT274" s="6" t="str">
        <f>HYPERLINK("http://www.worldcat.org/oclc/3255329","WorldCat Record")</f>
        <v>WorldCat Record</v>
      </c>
    </row>
    <row r="275" spans="1:46" ht="40.5" customHeight="1" x14ac:dyDescent="0.25">
      <c r="A275" s="8" t="s">
        <v>58</v>
      </c>
      <c r="B275" s="2" t="s">
        <v>2473</v>
      </c>
      <c r="C275" s="2" t="s">
        <v>2474</v>
      </c>
      <c r="D275" s="2" t="s">
        <v>2475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L275" s="2" t="s">
        <v>2476</v>
      </c>
      <c r="M275" s="3" t="s">
        <v>189</v>
      </c>
      <c r="O275" s="3" t="s">
        <v>64</v>
      </c>
      <c r="P275" s="3" t="s">
        <v>65</v>
      </c>
      <c r="Q275" s="2" t="s">
        <v>2477</v>
      </c>
      <c r="R275" s="3" t="s">
        <v>1346</v>
      </c>
      <c r="S275" s="4">
        <v>6</v>
      </c>
      <c r="T275" s="4">
        <v>6</v>
      </c>
      <c r="U275" s="5" t="s">
        <v>2478</v>
      </c>
      <c r="V275" s="5" t="s">
        <v>2478</v>
      </c>
      <c r="W275" s="5" t="s">
        <v>1778</v>
      </c>
      <c r="X275" s="5" t="s">
        <v>1778</v>
      </c>
      <c r="Y275" s="4">
        <v>101</v>
      </c>
      <c r="Z275" s="4">
        <v>70</v>
      </c>
      <c r="AA275" s="4">
        <v>97</v>
      </c>
      <c r="AB275" s="4">
        <v>1</v>
      </c>
      <c r="AC275" s="4">
        <v>1</v>
      </c>
      <c r="AD275" s="4">
        <v>0</v>
      </c>
      <c r="AE275" s="4">
        <v>1</v>
      </c>
      <c r="AF275" s="4">
        <v>0</v>
      </c>
      <c r="AG275" s="4">
        <v>1</v>
      </c>
      <c r="AH275" s="4">
        <v>0</v>
      </c>
      <c r="AI275" s="4">
        <v>0</v>
      </c>
      <c r="AJ275" s="4">
        <v>0</v>
      </c>
      <c r="AK275" s="4">
        <v>1</v>
      </c>
      <c r="AL275" s="4">
        <v>0</v>
      </c>
      <c r="AM275" s="4">
        <v>0</v>
      </c>
      <c r="AN275" s="4">
        <v>0</v>
      </c>
      <c r="AO275" s="4">
        <v>0</v>
      </c>
      <c r="AP275" s="3" t="s">
        <v>58</v>
      </c>
      <c r="AQ275" s="3" t="s">
        <v>58</v>
      </c>
      <c r="AS275" s="6" t="str">
        <f>HYPERLINK("https://creighton-primo.hosted.exlibrisgroup.com/primo-explore/search?tab=default_tab&amp;search_scope=EVERYTHING&amp;vid=01CRU&amp;lang=en_US&amp;offset=0&amp;query=any,contains,991001511379702656","Catalog Record")</f>
        <v>Catalog Record</v>
      </c>
      <c r="AT275" s="6" t="str">
        <f>HYPERLINK("http://www.worldcat.org/oclc/27227749","WorldCat Record")</f>
        <v>WorldCat Record</v>
      </c>
    </row>
    <row r="276" spans="1:46" ht="40.5" customHeight="1" x14ac:dyDescent="0.25">
      <c r="A276" s="8" t="s">
        <v>58</v>
      </c>
      <c r="B276" s="2" t="s">
        <v>2479</v>
      </c>
      <c r="C276" s="2" t="s">
        <v>2480</v>
      </c>
      <c r="D276" s="2" t="s">
        <v>2481</v>
      </c>
      <c r="F276" s="3" t="s">
        <v>58</v>
      </c>
      <c r="G276" s="3" t="s">
        <v>59</v>
      </c>
      <c r="H276" s="3" t="s">
        <v>58</v>
      </c>
      <c r="I276" s="3" t="s">
        <v>115</v>
      </c>
      <c r="J276" s="3" t="s">
        <v>60</v>
      </c>
      <c r="L276" s="2" t="s">
        <v>2482</v>
      </c>
      <c r="M276" s="3" t="s">
        <v>408</v>
      </c>
      <c r="N276" s="2" t="s">
        <v>936</v>
      </c>
      <c r="O276" s="3" t="s">
        <v>64</v>
      </c>
      <c r="P276" s="3" t="s">
        <v>112</v>
      </c>
      <c r="Q276" s="2" t="s">
        <v>2483</v>
      </c>
      <c r="R276" s="3" t="s">
        <v>1346</v>
      </c>
      <c r="S276" s="4">
        <v>16</v>
      </c>
      <c r="T276" s="4">
        <v>16</v>
      </c>
      <c r="U276" s="5" t="s">
        <v>2484</v>
      </c>
      <c r="V276" s="5" t="s">
        <v>2484</v>
      </c>
      <c r="W276" s="5" t="s">
        <v>2485</v>
      </c>
      <c r="X276" s="5" t="s">
        <v>2485</v>
      </c>
      <c r="Y276" s="4">
        <v>235</v>
      </c>
      <c r="Z276" s="4">
        <v>159</v>
      </c>
      <c r="AA276" s="4">
        <v>307</v>
      </c>
      <c r="AB276" s="4">
        <v>1</v>
      </c>
      <c r="AC276" s="4">
        <v>1</v>
      </c>
      <c r="AD276" s="4">
        <v>2</v>
      </c>
      <c r="AE276" s="4">
        <v>7</v>
      </c>
      <c r="AF276" s="4">
        <v>1</v>
      </c>
      <c r="AG276" s="4">
        <v>3</v>
      </c>
      <c r="AH276" s="4">
        <v>0</v>
      </c>
      <c r="AI276" s="4">
        <v>1</v>
      </c>
      <c r="AJ276" s="4">
        <v>1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3" t="s">
        <v>58</v>
      </c>
      <c r="AQ276" s="3" t="s">
        <v>115</v>
      </c>
      <c r="AR276" s="6" t="str">
        <f>HYPERLINK("http://catalog.hathitrust.org/Record/000537243","HathiTrust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HYPERLINK("https://creighton-primo.hosted.exlibrisgroup.com/primo-explore/search?tab=default_tab&amp;search_scope=EVERYTHING&amp;vid=01CRU&amp;lang=en_US&amp;offset=0&amp;query=any,contains,991001241209702656","Catalog Record")</f>
        <v>Catalog Record</v>
      </c>
      <c r="AT276" s="6" t="str">
        <f>HYPERLINK("http://www.worldcat.org/oclc/12558288","WorldCat Record")</f>
        <v>WorldCat Record</v>
      </c>
    </row>
    <row r="277" spans="1:46" ht="40.5" customHeight="1" x14ac:dyDescent="0.25">
      <c r="A277" s="8" t="s">
        <v>58</v>
      </c>
      <c r="B277" s="2" t="s">
        <v>2486</v>
      </c>
      <c r="C277" s="2" t="s">
        <v>2487</v>
      </c>
      <c r="D277" s="2" t="s">
        <v>2481</v>
      </c>
      <c r="F277" s="3" t="s">
        <v>58</v>
      </c>
      <c r="G277" s="3" t="s">
        <v>59</v>
      </c>
      <c r="H277" s="3" t="s">
        <v>58</v>
      </c>
      <c r="I277" s="3" t="s">
        <v>115</v>
      </c>
      <c r="J277" s="3" t="s">
        <v>60</v>
      </c>
      <c r="L277" s="2" t="s">
        <v>2488</v>
      </c>
      <c r="M277" s="3" t="s">
        <v>142</v>
      </c>
      <c r="N277" s="2" t="s">
        <v>221</v>
      </c>
      <c r="O277" s="3" t="s">
        <v>64</v>
      </c>
      <c r="P277" s="3" t="s">
        <v>112</v>
      </c>
      <c r="Q277" s="2" t="s">
        <v>2483</v>
      </c>
      <c r="R277" s="3" t="s">
        <v>1346</v>
      </c>
      <c r="S277" s="4">
        <v>22</v>
      </c>
      <c r="T277" s="4">
        <v>22</v>
      </c>
      <c r="U277" s="5" t="s">
        <v>2489</v>
      </c>
      <c r="V277" s="5" t="s">
        <v>2489</v>
      </c>
      <c r="W277" s="5" t="s">
        <v>2490</v>
      </c>
      <c r="X277" s="5" t="s">
        <v>2490</v>
      </c>
      <c r="Y277" s="4">
        <v>162</v>
      </c>
      <c r="Z277" s="4">
        <v>102</v>
      </c>
      <c r="AA277" s="4">
        <v>307</v>
      </c>
      <c r="AB277" s="4">
        <v>1</v>
      </c>
      <c r="AC277" s="4">
        <v>1</v>
      </c>
      <c r="AD277" s="4">
        <v>2</v>
      </c>
      <c r="AE277" s="4">
        <v>7</v>
      </c>
      <c r="AF277" s="4">
        <v>1</v>
      </c>
      <c r="AG277" s="4">
        <v>3</v>
      </c>
      <c r="AH277" s="4">
        <v>1</v>
      </c>
      <c r="AI277" s="4">
        <v>1</v>
      </c>
      <c r="AJ277" s="4">
        <v>0</v>
      </c>
      <c r="AK277" s="4">
        <v>2</v>
      </c>
      <c r="AL277" s="4">
        <v>0</v>
      </c>
      <c r="AM277" s="4">
        <v>0</v>
      </c>
      <c r="AN277" s="4">
        <v>0</v>
      </c>
      <c r="AO277" s="4">
        <v>1</v>
      </c>
      <c r="AP277" s="3" t="s">
        <v>58</v>
      </c>
      <c r="AQ277" s="3" t="s">
        <v>115</v>
      </c>
      <c r="AR277" s="6" t="str">
        <f>HYPERLINK("http://catalog.hathitrust.org/Record/002495628","HathiTrust Record")</f>
        <v>HathiTrust Record</v>
      </c>
      <c r="AS277" s="6" t="str">
        <f>HYPERLINK("https://creighton-primo.hosted.exlibrisgroup.com/primo-explore/search?tab=default_tab&amp;search_scope=EVERYTHING&amp;vid=01CRU&amp;lang=en_US&amp;offset=0&amp;query=any,contains,991001021049702656","Catalog Record")</f>
        <v>Catalog Record</v>
      </c>
      <c r="AT277" s="6" t="str">
        <f>HYPERLINK("http://www.worldcat.org/oclc/26128781","WorldCat Record")</f>
        <v>WorldCat Record</v>
      </c>
    </row>
    <row r="278" spans="1:46" ht="40.5" customHeight="1" x14ac:dyDescent="0.25">
      <c r="A278" s="8" t="s">
        <v>58</v>
      </c>
      <c r="B278" s="2" t="s">
        <v>2491</v>
      </c>
      <c r="C278" s="2" t="s">
        <v>2492</v>
      </c>
      <c r="D278" s="2" t="s">
        <v>2493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2494</v>
      </c>
      <c r="L278" s="2" t="s">
        <v>2495</v>
      </c>
      <c r="M278" s="3" t="s">
        <v>1392</v>
      </c>
      <c r="O278" s="3" t="s">
        <v>64</v>
      </c>
      <c r="P278" s="3" t="s">
        <v>1355</v>
      </c>
      <c r="Q278" s="2" t="s">
        <v>2496</v>
      </c>
      <c r="R278" s="3" t="s">
        <v>1346</v>
      </c>
      <c r="S278" s="4">
        <v>21</v>
      </c>
      <c r="T278" s="4">
        <v>21</v>
      </c>
      <c r="U278" s="5" t="s">
        <v>2497</v>
      </c>
      <c r="V278" s="5" t="s">
        <v>2497</v>
      </c>
      <c r="W278" s="5" t="s">
        <v>2335</v>
      </c>
      <c r="X278" s="5" t="s">
        <v>2335</v>
      </c>
      <c r="Y278" s="4">
        <v>106</v>
      </c>
      <c r="Z278" s="4">
        <v>69</v>
      </c>
      <c r="AA278" s="4">
        <v>69</v>
      </c>
      <c r="AB278" s="4">
        <v>1</v>
      </c>
      <c r="AC278" s="4">
        <v>1</v>
      </c>
      <c r="AD278" s="4">
        <v>1</v>
      </c>
      <c r="AE278" s="4">
        <v>1</v>
      </c>
      <c r="AF278" s="4">
        <v>1</v>
      </c>
      <c r="AG278" s="4">
        <v>1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3" t="s">
        <v>58</v>
      </c>
      <c r="AQ278" s="3" t="s">
        <v>58</v>
      </c>
      <c r="AS278" s="6" t="str">
        <f>HYPERLINK("https://creighton-primo.hosted.exlibrisgroup.com/primo-explore/search?tab=default_tab&amp;search_scope=EVERYTHING&amp;vid=01CRU&amp;lang=en_US&amp;offset=0&amp;query=any,contains,991000953069702656","Catalog Record")</f>
        <v>Catalog Record</v>
      </c>
      <c r="AT278" s="6" t="str">
        <f>HYPERLINK("http://www.worldcat.org/oclc/8846301","WorldCat Record")</f>
        <v>WorldCat Record</v>
      </c>
    </row>
    <row r="279" spans="1:46" ht="40.5" customHeight="1" x14ac:dyDescent="0.25">
      <c r="A279" s="8" t="s">
        <v>58</v>
      </c>
      <c r="B279" s="2" t="s">
        <v>2498</v>
      </c>
      <c r="C279" s="2" t="s">
        <v>2499</v>
      </c>
      <c r="D279" s="2" t="s">
        <v>2500</v>
      </c>
      <c r="F279" s="3" t="s">
        <v>58</v>
      </c>
      <c r="G279" s="3" t="s">
        <v>59</v>
      </c>
      <c r="H279" s="3" t="s">
        <v>58</v>
      </c>
      <c r="I279" s="3" t="s">
        <v>115</v>
      </c>
      <c r="J279" s="3" t="s">
        <v>60</v>
      </c>
      <c r="K279" s="2" t="s">
        <v>2501</v>
      </c>
      <c r="L279" s="2" t="s">
        <v>2502</v>
      </c>
      <c r="M279" s="3" t="s">
        <v>424</v>
      </c>
      <c r="N279" s="2" t="s">
        <v>936</v>
      </c>
      <c r="O279" s="3" t="s">
        <v>64</v>
      </c>
      <c r="P279" s="3" t="s">
        <v>2503</v>
      </c>
      <c r="R279" s="3" t="s">
        <v>1346</v>
      </c>
      <c r="S279" s="4">
        <v>63</v>
      </c>
      <c r="T279" s="4">
        <v>63</v>
      </c>
      <c r="U279" s="5" t="s">
        <v>2504</v>
      </c>
      <c r="V279" s="5" t="s">
        <v>2504</v>
      </c>
      <c r="W279" s="5" t="s">
        <v>2505</v>
      </c>
      <c r="X279" s="5" t="s">
        <v>2505</v>
      </c>
      <c r="Y279" s="4">
        <v>97</v>
      </c>
      <c r="Z279" s="4">
        <v>66</v>
      </c>
      <c r="AA279" s="4">
        <v>242</v>
      </c>
      <c r="AB279" s="4">
        <v>1</v>
      </c>
      <c r="AC279" s="4">
        <v>3</v>
      </c>
      <c r="AD279" s="4">
        <v>2</v>
      </c>
      <c r="AE279" s="4">
        <v>11</v>
      </c>
      <c r="AF279" s="4">
        <v>1</v>
      </c>
      <c r="AG279" s="4">
        <v>6</v>
      </c>
      <c r="AH279" s="4">
        <v>1</v>
      </c>
      <c r="AI279" s="4">
        <v>3</v>
      </c>
      <c r="AJ279" s="4">
        <v>0</v>
      </c>
      <c r="AK279" s="4">
        <v>2</v>
      </c>
      <c r="AL279" s="4">
        <v>0</v>
      </c>
      <c r="AM279" s="4">
        <v>2</v>
      </c>
      <c r="AN279" s="4">
        <v>0</v>
      </c>
      <c r="AO279" s="4">
        <v>0</v>
      </c>
      <c r="AP279" s="3" t="s">
        <v>58</v>
      </c>
      <c r="AQ279" s="3" t="s">
        <v>115</v>
      </c>
      <c r="AR279" s="6" t="str">
        <f>HYPERLINK("http://catalog.hathitrust.org/Record/002875626","HathiTrust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HYPERLINK("https://creighton-primo.hosted.exlibrisgroup.com/primo-explore/search?tab=default_tab&amp;search_scope=EVERYTHING&amp;vid=01CRU&amp;lang=en_US&amp;offset=0&amp;query=any,contains,991000684219702656","Catalog Record")</f>
        <v>Catalog Record</v>
      </c>
      <c r="AT279" s="6" t="str">
        <f>HYPERLINK("http://www.worldcat.org/oclc/30964072","WorldCat Record")</f>
        <v>WorldCat Record</v>
      </c>
    </row>
    <row r="280" spans="1:46" ht="40.5" customHeight="1" x14ac:dyDescent="0.25">
      <c r="A280" s="8" t="s">
        <v>58</v>
      </c>
      <c r="B280" s="2" t="s">
        <v>2506</v>
      </c>
      <c r="C280" s="2" t="s">
        <v>2507</v>
      </c>
      <c r="D280" s="2" t="s">
        <v>2508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2509</v>
      </c>
      <c r="L280" s="2" t="s">
        <v>2510</v>
      </c>
      <c r="M280" s="3" t="s">
        <v>235</v>
      </c>
      <c r="O280" s="3" t="s">
        <v>64</v>
      </c>
      <c r="P280" s="3" t="s">
        <v>65</v>
      </c>
      <c r="Q280" s="2" t="s">
        <v>1887</v>
      </c>
      <c r="R280" s="3" t="s">
        <v>1346</v>
      </c>
      <c r="S280" s="4">
        <v>6</v>
      </c>
      <c r="T280" s="4">
        <v>6</v>
      </c>
      <c r="U280" s="5" t="s">
        <v>2511</v>
      </c>
      <c r="V280" s="5" t="s">
        <v>2511</v>
      </c>
      <c r="W280" s="5" t="s">
        <v>2512</v>
      </c>
      <c r="X280" s="5" t="s">
        <v>2512</v>
      </c>
      <c r="Y280" s="4">
        <v>205</v>
      </c>
      <c r="Z280" s="4">
        <v>136</v>
      </c>
      <c r="AA280" s="4">
        <v>197</v>
      </c>
      <c r="AB280" s="4">
        <v>2</v>
      </c>
      <c r="AC280" s="4">
        <v>3</v>
      </c>
      <c r="AD280" s="4">
        <v>4</v>
      </c>
      <c r="AE280" s="4">
        <v>8</v>
      </c>
      <c r="AF280" s="4">
        <v>1</v>
      </c>
      <c r="AG280" s="4">
        <v>3</v>
      </c>
      <c r="AH280" s="4">
        <v>1</v>
      </c>
      <c r="AI280" s="4">
        <v>2</v>
      </c>
      <c r="AJ280" s="4">
        <v>1</v>
      </c>
      <c r="AK280" s="4">
        <v>2</v>
      </c>
      <c r="AL280" s="4">
        <v>1</v>
      </c>
      <c r="AM280" s="4">
        <v>2</v>
      </c>
      <c r="AN280" s="4">
        <v>0</v>
      </c>
      <c r="AO280" s="4">
        <v>0</v>
      </c>
      <c r="AP280" s="3" t="s">
        <v>58</v>
      </c>
      <c r="AQ280" s="3" t="s">
        <v>115</v>
      </c>
      <c r="AR280" s="6" t="str">
        <f>HYPERLINK("http://catalog.hathitrust.org/Record/000092840","HathiTrust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HYPERLINK("https://creighton-primo.hosted.exlibrisgroup.com/primo-explore/search?tab=default_tab&amp;search_scope=EVERYTHING&amp;vid=01CRU&amp;lang=en_US&amp;offset=0&amp;query=any,contains,991001483269702656","Catalog Record")</f>
        <v>Catalog Record</v>
      </c>
      <c r="AT280" s="6" t="str">
        <f>HYPERLINK("http://www.worldcat.org/oclc/3649703","WorldCat Record")</f>
        <v>WorldCat Record</v>
      </c>
    </row>
    <row r="281" spans="1:46" ht="40.5" customHeight="1" x14ac:dyDescent="0.25">
      <c r="A281" s="8" t="s">
        <v>58</v>
      </c>
      <c r="B281" s="2" t="s">
        <v>2513</v>
      </c>
      <c r="C281" s="2" t="s">
        <v>2514</v>
      </c>
      <c r="D281" s="2" t="s">
        <v>2515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59</v>
      </c>
      <c r="K281" s="2" t="s">
        <v>2516</v>
      </c>
      <c r="L281" s="2" t="s">
        <v>2517</v>
      </c>
      <c r="M281" s="3" t="s">
        <v>1037</v>
      </c>
      <c r="O281" s="3" t="s">
        <v>64</v>
      </c>
      <c r="P281" s="3" t="s">
        <v>112</v>
      </c>
      <c r="Q281" s="2" t="s">
        <v>2518</v>
      </c>
      <c r="R281" s="3" t="s">
        <v>1346</v>
      </c>
      <c r="S281" s="4">
        <v>0</v>
      </c>
      <c r="T281" s="4">
        <v>0</v>
      </c>
      <c r="U281" s="5" t="s">
        <v>2519</v>
      </c>
      <c r="V281" s="5" t="s">
        <v>2519</v>
      </c>
      <c r="W281" s="5" t="s">
        <v>2520</v>
      </c>
      <c r="X281" s="5" t="s">
        <v>2520</v>
      </c>
      <c r="Y281" s="4">
        <v>41</v>
      </c>
      <c r="Z281" s="4">
        <v>20</v>
      </c>
      <c r="AA281" s="4">
        <v>747</v>
      </c>
      <c r="AB281" s="4">
        <v>1</v>
      </c>
      <c r="AC281" s="4">
        <v>12</v>
      </c>
      <c r="AD281" s="4">
        <v>1</v>
      </c>
      <c r="AE281" s="4">
        <v>35</v>
      </c>
      <c r="AF281" s="4">
        <v>0</v>
      </c>
      <c r="AG281" s="4">
        <v>10</v>
      </c>
      <c r="AH281" s="4">
        <v>0</v>
      </c>
      <c r="AI281" s="4">
        <v>9</v>
      </c>
      <c r="AJ281" s="4">
        <v>1</v>
      </c>
      <c r="AK281" s="4">
        <v>10</v>
      </c>
      <c r="AL281" s="4">
        <v>0</v>
      </c>
      <c r="AM281" s="4">
        <v>10</v>
      </c>
      <c r="AN281" s="4">
        <v>0</v>
      </c>
      <c r="AO281" s="4">
        <v>1</v>
      </c>
      <c r="AP281" s="3" t="s">
        <v>58</v>
      </c>
      <c r="AQ281" s="3" t="s">
        <v>58</v>
      </c>
      <c r="AS281" s="6" t="str">
        <f>HYPERLINK("https://creighton-primo.hosted.exlibrisgroup.com/primo-explore/search?tab=default_tab&amp;search_scope=EVERYTHING&amp;vid=01CRU&amp;lang=en_US&amp;offset=0&amp;query=any,contains,991001474979702656","Catalog Record")</f>
        <v>Catalog Record</v>
      </c>
      <c r="AT281" s="6" t="str">
        <f>HYPERLINK("http://www.worldcat.org/oclc/180195560","WorldCat Record")</f>
        <v>WorldCat Record</v>
      </c>
    </row>
    <row r="282" spans="1:46" ht="40.5" customHeight="1" x14ac:dyDescent="0.25">
      <c r="A282" s="8" t="s">
        <v>58</v>
      </c>
      <c r="B282" s="2" t="s">
        <v>2521</v>
      </c>
      <c r="C282" s="2" t="s">
        <v>2522</v>
      </c>
      <c r="D282" s="2" t="s">
        <v>2523</v>
      </c>
      <c r="F282" s="3" t="s">
        <v>58</v>
      </c>
      <c r="G282" s="3" t="s">
        <v>59</v>
      </c>
      <c r="H282" s="3" t="s">
        <v>58</v>
      </c>
      <c r="I282" s="3" t="s">
        <v>115</v>
      </c>
      <c r="J282" s="3" t="s">
        <v>60</v>
      </c>
      <c r="K282" s="2" t="s">
        <v>1390</v>
      </c>
      <c r="L282" s="2" t="s">
        <v>2524</v>
      </c>
      <c r="M282" s="3" t="s">
        <v>408</v>
      </c>
      <c r="N282" s="2" t="s">
        <v>143</v>
      </c>
      <c r="O282" s="3" t="s">
        <v>64</v>
      </c>
      <c r="P282" s="3" t="s">
        <v>1355</v>
      </c>
      <c r="Q282" s="2" t="s">
        <v>1393</v>
      </c>
      <c r="R282" s="3" t="s">
        <v>1346</v>
      </c>
      <c r="S282" s="4">
        <v>11</v>
      </c>
      <c r="T282" s="4">
        <v>11</v>
      </c>
      <c r="U282" s="5" t="s">
        <v>2525</v>
      </c>
      <c r="V282" s="5" t="s">
        <v>2525</v>
      </c>
      <c r="W282" s="5" t="s">
        <v>2526</v>
      </c>
      <c r="X282" s="5" t="s">
        <v>2526</v>
      </c>
      <c r="Y282" s="4">
        <v>64</v>
      </c>
      <c r="Z282" s="4">
        <v>58</v>
      </c>
      <c r="AA282" s="4">
        <v>77</v>
      </c>
      <c r="AB282" s="4">
        <v>1</v>
      </c>
      <c r="AC282" s="4">
        <v>1</v>
      </c>
      <c r="AD282" s="4">
        <v>1</v>
      </c>
      <c r="AE282" s="4">
        <v>1</v>
      </c>
      <c r="AF282" s="4">
        <v>1</v>
      </c>
      <c r="AG282" s="4">
        <v>1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3" t="s">
        <v>58</v>
      </c>
      <c r="AQ282" s="3" t="s">
        <v>115</v>
      </c>
      <c r="AR282" s="6" t="str">
        <f>HYPERLINK("http://catalog.hathitrust.org/Record/000482251","HathiTrust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HYPERLINK("https://creighton-primo.hosted.exlibrisgroup.com/primo-explore/search?tab=default_tab&amp;search_scope=EVERYTHING&amp;vid=01CRU&amp;lang=en_US&amp;offset=0&amp;query=any,contains,991000914749702656","Catalog Record")</f>
        <v>Catalog Record</v>
      </c>
      <c r="AT282" s="6" t="str">
        <f>HYPERLINK("http://www.worldcat.org/oclc/12082491","WorldCat Record")</f>
        <v>WorldCat Record</v>
      </c>
    </row>
    <row r="283" spans="1:46" ht="40.5" customHeight="1" x14ac:dyDescent="0.25">
      <c r="A283" s="8" t="s">
        <v>58</v>
      </c>
      <c r="B283" s="2" t="s">
        <v>2527</v>
      </c>
      <c r="C283" s="2" t="s">
        <v>2528</v>
      </c>
      <c r="D283" s="2" t="s">
        <v>2529</v>
      </c>
      <c r="F283" s="3" t="s">
        <v>58</v>
      </c>
      <c r="G283" s="3" t="s">
        <v>59</v>
      </c>
      <c r="H283" s="3" t="s">
        <v>58</v>
      </c>
      <c r="I283" s="3" t="s">
        <v>115</v>
      </c>
      <c r="J283" s="3" t="s">
        <v>60</v>
      </c>
      <c r="K283" s="2" t="s">
        <v>2530</v>
      </c>
      <c r="L283" s="2" t="s">
        <v>2531</v>
      </c>
      <c r="M283" s="3" t="s">
        <v>993</v>
      </c>
      <c r="O283" s="3" t="s">
        <v>64</v>
      </c>
      <c r="P283" s="3" t="s">
        <v>1406</v>
      </c>
      <c r="R283" s="3" t="s">
        <v>1346</v>
      </c>
      <c r="S283" s="4">
        <v>10</v>
      </c>
      <c r="T283" s="4">
        <v>10</v>
      </c>
      <c r="U283" s="5" t="s">
        <v>2532</v>
      </c>
      <c r="V283" s="5" t="s">
        <v>2532</v>
      </c>
      <c r="W283" s="5" t="s">
        <v>2533</v>
      </c>
      <c r="X283" s="5" t="s">
        <v>2533</v>
      </c>
      <c r="Y283" s="4">
        <v>110</v>
      </c>
      <c r="Z283" s="4">
        <v>75</v>
      </c>
      <c r="AA283" s="4">
        <v>316</v>
      </c>
      <c r="AB283" s="4">
        <v>2</v>
      </c>
      <c r="AC283" s="4">
        <v>4</v>
      </c>
      <c r="AD283" s="4">
        <v>4</v>
      </c>
      <c r="AE283" s="4">
        <v>7</v>
      </c>
      <c r="AF283" s="4">
        <v>0</v>
      </c>
      <c r="AG283" s="4">
        <v>0</v>
      </c>
      <c r="AH283" s="4">
        <v>2</v>
      </c>
      <c r="AI283" s="4">
        <v>3</v>
      </c>
      <c r="AJ283" s="4">
        <v>2</v>
      </c>
      <c r="AK283" s="4">
        <v>2</v>
      </c>
      <c r="AL283" s="4">
        <v>1</v>
      </c>
      <c r="AM283" s="4">
        <v>3</v>
      </c>
      <c r="AN283" s="4">
        <v>0</v>
      </c>
      <c r="AO283" s="4">
        <v>0</v>
      </c>
      <c r="AP283" s="3" t="s">
        <v>58</v>
      </c>
      <c r="AQ283" s="3" t="s">
        <v>115</v>
      </c>
      <c r="AR283" s="6" t="str">
        <f>HYPERLINK("http://catalog.hathitrust.org/Record/003314902","HathiTrust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HYPERLINK("https://creighton-primo.hosted.exlibrisgroup.com/primo-explore/search?tab=default_tab&amp;search_scope=EVERYTHING&amp;vid=01CRU&amp;lang=en_US&amp;offset=0&amp;query=any,contains,991001564959702656","Catalog Record")</f>
        <v>Catalog Record</v>
      </c>
      <c r="AT283" s="6" t="str">
        <f>HYPERLINK("http://www.worldcat.org/oclc/39282366","WorldCat Record")</f>
        <v>WorldCat Record</v>
      </c>
    </row>
    <row r="284" spans="1:46" ht="40.5" customHeight="1" x14ac:dyDescent="0.25">
      <c r="A284" s="8" t="s">
        <v>58</v>
      </c>
      <c r="B284" s="2" t="s">
        <v>2534</v>
      </c>
      <c r="C284" s="2" t="s">
        <v>2535</v>
      </c>
      <c r="D284" s="2" t="s">
        <v>2536</v>
      </c>
      <c r="F284" s="3" t="s">
        <v>58</v>
      </c>
      <c r="G284" s="3" t="s">
        <v>59</v>
      </c>
      <c r="H284" s="3" t="s">
        <v>58</v>
      </c>
      <c r="I284" s="3" t="s">
        <v>115</v>
      </c>
      <c r="J284" s="3" t="s">
        <v>60</v>
      </c>
      <c r="K284" s="2" t="s">
        <v>2530</v>
      </c>
      <c r="L284" s="2" t="s">
        <v>2537</v>
      </c>
      <c r="M284" s="3" t="s">
        <v>572</v>
      </c>
      <c r="N284" s="2" t="s">
        <v>143</v>
      </c>
      <c r="O284" s="3" t="s">
        <v>64</v>
      </c>
      <c r="P284" s="3" t="s">
        <v>1406</v>
      </c>
      <c r="R284" s="3" t="s">
        <v>1346</v>
      </c>
      <c r="S284" s="4">
        <v>5</v>
      </c>
      <c r="T284" s="4">
        <v>5</v>
      </c>
      <c r="U284" s="5" t="s">
        <v>2538</v>
      </c>
      <c r="V284" s="5" t="s">
        <v>2538</v>
      </c>
      <c r="W284" s="5" t="s">
        <v>1451</v>
      </c>
      <c r="X284" s="5" t="s">
        <v>1451</v>
      </c>
      <c r="Y284" s="4">
        <v>121</v>
      </c>
      <c r="Z284" s="4">
        <v>89</v>
      </c>
      <c r="AA284" s="4">
        <v>316</v>
      </c>
      <c r="AB284" s="4">
        <v>2</v>
      </c>
      <c r="AC284" s="4">
        <v>4</v>
      </c>
      <c r="AD284" s="4">
        <v>3</v>
      </c>
      <c r="AE284" s="4">
        <v>7</v>
      </c>
      <c r="AF284" s="4">
        <v>0</v>
      </c>
      <c r="AG284" s="4">
        <v>0</v>
      </c>
      <c r="AH284" s="4">
        <v>1</v>
      </c>
      <c r="AI284" s="4">
        <v>3</v>
      </c>
      <c r="AJ284" s="4">
        <v>2</v>
      </c>
      <c r="AK284" s="4">
        <v>2</v>
      </c>
      <c r="AL284" s="4">
        <v>1</v>
      </c>
      <c r="AM284" s="4">
        <v>3</v>
      </c>
      <c r="AN284" s="4">
        <v>0</v>
      </c>
      <c r="AO284" s="4">
        <v>0</v>
      </c>
      <c r="AP284" s="3" t="s">
        <v>58</v>
      </c>
      <c r="AQ284" s="3" t="s">
        <v>115</v>
      </c>
      <c r="AR284" s="6" t="str">
        <f>HYPERLINK("http://catalog.hathitrust.org/Record/004338276","HathiTrust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HYPERLINK("https://creighton-primo.hosted.exlibrisgroup.com/primo-explore/search?tab=default_tab&amp;search_scope=EVERYTHING&amp;vid=01CRU&amp;lang=en_US&amp;offset=0&amp;query=any,contains,991000377319702656","Catalog Record")</f>
        <v>Catalog Record</v>
      </c>
      <c r="AT284" s="6" t="str">
        <f>HYPERLINK("http://www.worldcat.org/oclc/51811294","WorldCat Record")</f>
        <v>WorldCat Record</v>
      </c>
    </row>
    <row r="285" spans="1:46" ht="40.5" customHeight="1" x14ac:dyDescent="0.25">
      <c r="A285" s="8" t="s">
        <v>58</v>
      </c>
      <c r="B285" s="2" t="s">
        <v>2539</v>
      </c>
      <c r="C285" s="2" t="s">
        <v>2540</v>
      </c>
      <c r="D285" s="2" t="s">
        <v>2541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L285" s="2" t="s">
        <v>2542</v>
      </c>
      <c r="M285" s="3" t="s">
        <v>290</v>
      </c>
      <c r="O285" s="3" t="s">
        <v>64</v>
      </c>
      <c r="P285" s="3" t="s">
        <v>1374</v>
      </c>
      <c r="Q285" s="2" t="s">
        <v>2543</v>
      </c>
      <c r="R285" s="3" t="s">
        <v>1346</v>
      </c>
      <c r="S285" s="4">
        <v>1</v>
      </c>
      <c r="T285" s="4">
        <v>1</v>
      </c>
      <c r="U285" s="5" t="s">
        <v>2544</v>
      </c>
      <c r="V285" s="5" t="s">
        <v>2544</v>
      </c>
      <c r="W285" s="5" t="s">
        <v>2545</v>
      </c>
      <c r="X285" s="5" t="s">
        <v>2545</v>
      </c>
      <c r="Y285" s="4">
        <v>53</v>
      </c>
      <c r="Z285" s="4">
        <v>42</v>
      </c>
      <c r="AA285" s="4">
        <v>43</v>
      </c>
      <c r="AB285" s="4">
        <v>1</v>
      </c>
      <c r="AC285" s="4">
        <v>1</v>
      </c>
      <c r="AD285" s="4">
        <v>1</v>
      </c>
      <c r="AE285" s="4">
        <v>1</v>
      </c>
      <c r="AF285" s="4">
        <v>1</v>
      </c>
      <c r="AG285" s="4">
        <v>1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HYPERLINK("https://creighton-primo.hosted.exlibrisgroup.com/primo-explore/search?tab=default_tab&amp;search_scope=EVERYTHING&amp;vid=01CRU&amp;lang=en_US&amp;offset=0&amp;query=any,contains,991001117079702656","Catalog Record")</f>
        <v>Catalog Record</v>
      </c>
      <c r="AT285" s="6" t="str">
        <f>HYPERLINK("http://www.worldcat.org/oclc/17727920","WorldCat Record")</f>
        <v>WorldCat Record</v>
      </c>
    </row>
    <row r="286" spans="1:46" ht="40.5" customHeight="1" x14ac:dyDescent="0.25">
      <c r="A286" s="8" t="s">
        <v>58</v>
      </c>
      <c r="B286" s="2" t="s">
        <v>2546</v>
      </c>
      <c r="C286" s="2" t="s">
        <v>2547</v>
      </c>
      <c r="D286" s="2" t="s">
        <v>2548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2549</v>
      </c>
      <c r="L286" s="2" t="s">
        <v>2098</v>
      </c>
      <c r="M286" s="3" t="s">
        <v>189</v>
      </c>
      <c r="N286" s="2" t="s">
        <v>1893</v>
      </c>
      <c r="O286" s="3" t="s">
        <v>64</v>
      </c>
      <c r="P286" s="3" t="s">
        <v>1355</v>
      </c>
      <c r="R286" s="3" t="s">
        <v>1346</v>
      </c>
      <c r="S286" s="4">
        <v>7</v>
      </c>
      <c r="T286" s="4">
        <v>7</v>
      </c>
      <c r="U286" s="5" t="s">
        <v>2210</v>
      </c>
      <c r="V286" s="5" t="s">
        <v>2210</v>
      </c>
      <c r="W286" s="5" t="s">
        <v>2048</v>
      </c>
      <c r="X286" s="5" t="s">
        <v>2048</v>
      </c>
      <c r="Y286" s="4">
        <v>208</v>
      </c>
      <c r="Z286" s="4">
        <v>169</v>
      </c>
      <c r="AA286" s="4">
        <v>504</v>
      </c>
      <c r="AB286" s="4">
        <v>1</v>
      </c>
      <c r="AC286" s="4">
        <v>1</v>
      </c>
      <c r="AD286" s="4">
        <v>2</v>
      </c>
      <c r="AE286" s="4">
        <v>9</v>
      </c>
      <c r="AF286" s="4">
        <v>1</v>
      </c>
      <c r="AG286" s="4">
        <v>6</v>
      </c>
      <c r="AH286" s="4">
        <v>1</v>
      </c>
      <c r="AI286" s="4">
        <v>3</v>
      </c>
      <c r="AJ286" s="4">
        <v>0</v>
      </c>
      <c r="AK286" s="4">
        <v>3</v>
      </c>
      <c r="AL286" s="4">
        <v>0</v>
      </c>
      <c r="AM286" s="4">
        <v>0</v>
      </c>
      <c r="AN286" s="4">
        <v>0</v>
      </c>
      <c r="AO286" s="4">
        <v>0</v>
      </c>
      <c r="AP286" s="3" t="s">
        <v>58</v>
      </c>
      <c r="AQ286" s="3" t="s">
        <v>115</v>
      </c>
      <c r="AR286" s="6" t="str">
        <f>HYPERLINK("http://catalog.hathitrust.org/Record/002525429","HathiTrust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HYPERLINK("https://creighton-primo.hosted.exlibrisgroup.com/primo-explore/search?tab=default_tab&amp;search_scope=EVERYTHING&amp;vid=01CRU&amp;lang=en_US&amp;offset=0&amp;query=any,contains,991001301279702656","Catalog Record")</f>
        <v>Catalog Record</v>
      </c>
      <c r="AT286" s="6" t="str">
        <f>HYPERLINK("http://www.worldcat.org/oclc/24068929","WorldCat Record")</f>
        <v>WorldCat Record</v>
      </c>
    </row>
    <row r="287" spans="1:46" ht="40.5" customHeight="1" x14ac:dyDescent="0.25">
      <c r="A287" s="8" t="s">
        <v>58</v>
      </c>
      <c r="B287" s="2" t="s">
        <v>2550</v>
      </c>
      <c r="C287" s="2" t="s">
        <v>2551</v>
      </c>
      <c r="D287" s="2" t="s">
        <v>2552</v>
      </c>
      <c r="F287" s="3" t="s">
        <v>58</v>
      </c>
      <c r="G287" s="3" t="s">
        <v>59</v>
      </c>
      <c r="H287" s="3" t="s">
        <v>58</v>
      </c>
      <c r="I287" s="3" t="s">
        <v>115</v>
      </c>
      <c r="J287" s="3" t="s">
        <v>60</v>
      </c>
      <c r="K287" s="2" t="s">
        <v>2553</v>
      </c>
      <c r="L287" s="2" t="s">
        <v>2554</v>
      </c>
      <c r="M287" s="3" t="s">
        <v>306</v>
      </c>
      <c r="N287" s="2" t="s">
        <v>2555</v>
      </c>
      <c r="O287" s="3" t="s">
        <v>64</v>
      </c>
      <c r="P287" s="3" t="s">
        <v>144</v>
      </c>
      <c r="R287" s="3" t="s">
        <v>1346</v>
      </c>
      <c r="S287" s="4">
        <v>3</v>
      </c>
      <c r="T287" s="4">
        <v>3</v>
      </c>
      <c r="U287" s="5" t="s">
        <v>2556</v>
      </c>
      <c r="V287" s="5" t="s">
        <v>2556</v>
      </c>
      <c r="W287" s="5" t="s">
        <v>2557</v>
      </c>
      <c r="X287" s="5" t="s">
        <v>2557</v>
      </c>
      <c r="Y287" s="4">
        <v>27</v>
      </c>
      <c r="Z287" s="4">
        <v>25</v>
      </c>
      <c r="AA287" s="4">
        <v>158</v>
      </c>
      <c r="AB287" s="4">
        <v>1</v>
      </c>
      <c r="AC287" s="4">
        <v>1</v>
      </c>
      <c r="AD287" s="4">
        <v>0</v>
      </c>
      <c r="AE287" s="4">
        <v>2</v>
      </c>
      <c r="AF287" s="4">
        <v>0</v>
      </c>
      <c r="AG287" s="4">
        <v>2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3" t="s">
        <v>58</v>
      </c>
      <c r="AQ287" s="3" t="s">
        <v>115</v>
      </c>
      <c r="AR287" s="6" t="str">
        <f>HYPERLINK("http://catalog.hathitrust.org/Record/003082615","HathiTrust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HYPERLINK("https://creighton-primo.hosted.exlibrisgroup.com/primo-explore/search?tab=default_tab&amp;search_scope=EVERYTHING&amp;vid=01CRU&amp;lang=en_US&amp;offset=0&amp;query=any,contains,991001047479702656","Catalog Record")</f>
        <v>Catalog Record</v>
      </c>
      <c r="AT287" s="6" t="str">
        <f>HYPERLINK("http://www.worldcat.org/oclc/35112777","WorldCat Record")</f>
        <v>WorldCat Record</v>
      </c>
    </row>
    <row r="288" spans="1:46" ht="40.5" customHeight="1" x14ac:dyDescent="0.25">
      <c r="A288" s="8" t="s">
        <v>58</v>
      </c>
      <c r="B288" s="2" t="s">
        <v>2558</v>
      </c>
      <c r="C288" s="2" t="s">
        <v>2559</v>
      </c>
      <c r="D288" s="2" t="s">
        <v>2560</v>
      </c>
      <c r="F288" s="3" t="s">
        <v>58</v>
      </c>
      <c r="G288" s="3" t="s">
        <v>59</v>
      </c>
      <c r="H288" s="3" t="s">
        <v>58</v>
      </c>
      <c r="I288" s="3" t="s">
        <v>115</v>
      </c>
      <c r="J288" s="3" t="s">
        <v>60</v>
      </c>
      <c r="K288" s="2" t="s">
        <v>2561</v>
      </c>
      <c r="L288" s="2" t="s">
        <v>2562</v>
      </c>
      <c r="M288" s="3" t="s">
        <v>1177</v>
      </c>
      <c r="N288" s="2" t="s">
        <v>2563</v>
      </c>
      <c r="O288" s="3" t="s">
        <v>64</v>
      </c>
      <c r="P288" s="3" t="s">
        <v>1374</v>
      </c>
      <c r="Q288" s="2" t="s">
        <v>2564</v>
      </c>
      <c r="R288" s="3" t="s">
        <v>1346</v>
      </c>
      <c r="S288" s="4">
        <v>32</v>
      </c>
      <c r="T288" s="4">
        <v>32</v>
      </c>
      <c r="U288" s="5" t="s">
        <v>2565</v>
      </c>
      <c r="V288" s="5" t="s">
        <v>2565</v>
      </c>
      <c r="W288" s="5" t="s">
        <v>2566</v>
      </c>
      <c r="X288" s="5" t="s">
        <v>2566</v>
      </c>
      <c r="Y288" s="4">
        <v>667</v>
      </c>
      <c r="Z288" s="4">
        <v>538</v>
      </c>
      <c r="AA288" s="4">
        <v>1136</v>
      </c>
      <c r="AB288" s="4">
        <v>2</v>
      </c>
      <c r="AC288" s="4">
        <v>7</v>
      </c>
      <c r="AD288" s="4">
        <v>3</v>
      </c>
      <c r="AE288" s="4">
        <v>15</v>
      </c>
      <c r="AF288" s="4">
        <v>1</v>
      </c>
      <c r="AG288" s="4">
        <v>5</v>
      </c>
      <c r="AH288" s="4">
        <v>1</v>
      </c>
      <c r="AI288" s="4">
        <v>4</v>
      </c>
      <c r="AJ288" s="4">
        <v>2</v>
      </c>
      <c r="AK288" s="4">
        <v>7</v>
      </c>
      <c r="AL288" s="4">
        <v>0</v>
      </c>
      <c r="AM288" s="4">
        <v>3</v>
      </c>
      <c r="AN288" s="4">
        <v>0</v>
      </c>
      <c r="AO288" s="4">
        <v>0</v>
      </c>
      <c r="AP288" s="3" t="s">
        <v>58</v>
      </c>
      <c r="AQ288" s="3" t="s">
        <v>115</v>
      </c>
      <c r="AR288" s="6" t="str">
        <f>HYPERLINK("http://catalog.hathitrust.org/Record/000825676","HathiTrust Record")</f>
        <v>HathiTrust Record</v>
      </c>
      <c r="AS288" s="6" t="str">
        <f>HYPERLINK("https://creighton-primo.hosted.exlibrisgroup.com/primo-explore/search?tab=default_tab&amp;search_scope=EVERYTHING&amp;vid=01CRU&amp;lang=en_US&amp;offset=0&amp;query=any,contains,991000587099702656","Catalog Record")</f>
        <v>Catalog Record</v>
      </c>
      <c r="AT288" s="6" t="str">
        <f>HYPERLINK("http://www.worldcat.org/oclc/16709934","WorldCat Record")</f>
        <v>WorldCat Record</v>
      </c>
    </row>
    <row r="289" spans="1:46" ht="40.5" customHeight="1" x14ac:dyDescent="0.25">
      <c r="A289" s="8" t="s">
        <v>58</v>
      </c>
      <c r="B289" s="2" t="s">
        <v>2567</v>
      </c>
      <c r="C289" s="2" t="s">
        <v>2568</v>
      </c>
      <c r="D289" s="2" t="s">
        <v>2569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L289" s="2" t="s">
        <v>2570</v>
      </c>
      <c r="M289" s="3" t="s">
        <v>572</v>
      </c>
      <c r="N289" s="2" t="s">
        <v>1767</v>
      </c>
      <c r="O289" s="3" t="s">
        <v>64</v>
      </c>
      <c r="P289" s="3" t="s">
        <v>2571</v>
      </c>
      <c r="Q289" s="2" t="s">
        <v>2572</v>
      </c>
      <c r="R289" s="3" t="s">
        <v>1346</v>
      </c>
      <c r="S289" s="4">
        <v>1</v>
      </c>
      <c r="T289" s="4">
        <v>1</v>
      </c>
      <c r="U289" s="5" t="s">
        <v>2573</v>
      </c>
      <c r="V289" s="5" t="s">
        <v>2573</v>
      </c>
      <c r="W289" s="5" t="s">
        <v>2574</v>
      </c>
      <c r="X289" s="5" t="s">
        <v>2574</v>
      </c>
      <c r="Y289" s="4">
        <v>15</v>
      </c>
      <c r="Z289" s="4">
        <v>13</v>
      </c>
      <c r="AA289" s="4">
        <v>56</v>
      </c>
      <c r="AB289" s="4">
        <v>1</v>
      </c>
      <c r="AC289" s="4">
        <v>1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3" t="s">
        <v>58</v>
      </c>
      <c r="AQ289" s="3" t="s">
        <v>115</v>
      </c>
      <c r="AR289" s="6" t="str">
        <f>HYPERLINK("http://catalog.hathitrust.org/Record/004321156","HathiTrust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HYPERLINK("https://creighton-primo.hosted.exlibrisgroup.com/primo-explore/search?tab=default_tab&amp;search_scope=EVERYTHING&amp;vid=01CRU&amp;lang=en_US&amp;offset=0&amp;query=any,contains,991000369619702656","Catalog Record")</f>
        <v>Catalog Record</v>
      </c>
      <c r="AT289" s="6" t="str">
        <f>HYPERLINK("http://www.worldcat.org/oclc/52256509","WorldCat Record")</f>
        <v>WorldCat Record</v>
      </c>
    </row>
    <row r="290" spans="1:46" ht="40.5" customHeight="1" x14ac:dyDescent="0.25">
      <c r="A290" s="8" t="s">
        <v>58</v>
      </c>
      <c r="B290" s="2" t="s">
        <v>2575</v>
      </c>
      <c r="C290" s="2" t="s">
        <v>2576</v>
      </c>
      <c r="D290" s="2" t="s">
        <v>2577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L290" s="2" t="s">
        <v>2578</v>
      </c>
      <c r="M290" s="3" t="s">
        <v>189</v>
      </c>
      <c r="O290" s="3" t="s">
        <v>64</v>
      </c>
      <c r="P290" s="3" t="s">
        <v>1355</v>
      </c>
      <c r="R290" s="3" t="s">
        <v>1346</v>
      </c>
      <c r="S290" s="4">
        <v>20</v>
      </c>
      <c r="T290" s="4">
        <v>20</v>
      </c>
      <c r="U290" s="5" t="s">
        <v>2556</v>
      </c>
      <c r="V290" s="5" t="s">
        <v>2556</v>
      </c>
      <c r="W290" s="5" t="s">
        <v>2579</v>
      </c>
      <c r="X290" s="5" t="s">
        <v>2579</v>
      </c>
      <c r="Y290" s="4">
        <v>129</v>
      </c>
      <c r="Z290" s="4">
        <v>93</v>
      </c>
      <c r="AA290" s="4">
        <v>96</v>
      </c>
      <c r="AB290" s="4">
        <v>2</v>
      </c>
      <c r="AC290" s="4">
        <v>2</v>
      </c>
      <c r="AD290" s="4">
        <v>1</v>
      </c>
      <c r="AE290" s="4">
        <v>1</v>
      </c>
      <c r="AF290" s="4">
        <v>0</v>
      </c>
      <c r="AG290" s="4">
        <v>0</v>
      </c>
      <c r="AH290" s="4">
        <v>1</v>
      </c>
      <c r="AI290" s="4">
        <v>1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3" t="s">
        <v>58</v>
      </c>
      <c r="AQ290" s="3" t="s">
        <v>115</v>
      </c>
      <c r="AR290" s="6" t="str">
        <f>HYPERLINK("http://catalog.hathitrust.org/Record/002536480","HathiTrust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HYPERLINK("https://creighton-primo.hosted.exlibrisgroup.com/primo-explore/search?tab=default_tab&amp;search_scope=EVERYTHING&amp;vid=01CRU&amp;lang=en_US&amp;offset=0&amp;query=any,contains,991001302849702656","Catalog Record")</f>
        <v>Catalog Record</v>
      </c>
      <c r="AT290" s="6" t="str">
        <f>HYPERLINK("http://www.worldcat.org/oclc/24504209","WorldCat Record")</f>
        <v>WorldCat Record</v>
      </c>
    </row>
    <row r="291" spans="1:46" ht="40.5" customHeight="1" x14ac:dyDescent="0.25">
      <c r="A291" s="8" t="s">
        <v>58</v>
      </c>
      <c r="B291" s="2" t="s">
        <v>2580</v>
      </c>
      <c r="C291" s="2" t="s">
        <v>2581</v>
      </c>
      <c r="D291" s="2" t="s">
        <v>2582</v>
      </c>
      <c r="F291" s="3" t="s">
        <v>58</v>
      </c>
      <c r="G291" s="3" t="s">
        <v>59</v>
      </c>
      <c r="H291" s="3" t="s">
        <v>58</v>
      </c>
      <c r="I291" s="3" t="s">
        <v>115</v>
      </c>
      <c r="J291" s="3" t="s">
        <v>1367</v>
      </c>
      <c r="L291" s="2" t="s">
        <v>2583</v>
      </c>
      <c r="M291" s="3" t="s">
        <v>306</v>
      </c>
      <c r="O291" s="3" t="s">
        <v>64</v>
      </c>
      <c r="P291" s="3" t="s">
        <v>1374</v>
      </c>
      <c r="R291" s="3" t="s">
        <v>1346</v>
      </c>
      <c r="S291" s="4">
        <v>95</v>
      </c>
      <c r="T291" s="4">
        <v>95</v>
      </c>
      <c r="U291" s="5" t="s">
        <v>2584</v>
      </c>
      <c r="V291" s="5" t="s">
        <v>2584</v>
      </c>
      <c r="W291" s="5" t="s">
        <v>2585</v>
      </c>
      <c r="X291" s="5" t="s">
        <v>2585</v>
      </c>
      <c r="Y291" s="4">
        <v>80</v>
      </c>
      <c r="Z291" s="4">
        <v>56</v>
      </c>
      <c r="AA291" s="4">
        <v>248</v>
      </c>
      <c r="AB291" s="4">
        <v>1</v>
      </c>
      <c r="AC291" s="4">
        <v>4</v>
      </c>
      <c r="AD291" s="4">
        <v>3</v>
      </c>
      <c r="AE291" s="4">
        <v>11</v>
      </c>
      <c r="AF291" s="4">
        <v>1</v>
      </c>
      <c r="AG291" s="4">
        <v>6</v>
      </c>
      <c r="AH291" s="4">
        <v>2</v>
      </c>
      <c r="AI291" s="4">
        <v>3</v>
      </c>
      <c r="AJ291" s="4">
        <v>0</v>
      </c>
      <c r="AK291" s="4">
        <v>2</v>
      </c>
      <c r="AL291" s="4">
        <v>0</v>
      </c>
      <c r="AM291" s="4">
        <v>2</v>
      </c>
      <c r="AN291" s="4">
        <v>0</v>
      </c>
      <c r="AO291" s="4">
        <v>0</v>
      </c>
      <c r="AP291" s="3" t="s">
        <v>58</v>
      </c>
      <c r="AQ291" s="3" t="s">
        <v>115</v>
      </c>
      <c r="AR291" s="6" t="str">
        <f>HYPERLINK("http://catalog.hathitrust.org/Record/003066062","HathiTrust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HYPERLINK("https://creighton-primo.hosted.exlibrisgroup.com/primo-explore/search?tab=default_tab&amp;search_scope=EVERYTHING&amp;vid=01CRU&amp;lang=en_US&amp;offset=0&amp;query=any,contains,991000835219702656","Catalog Record")</f>
        <v>Catalog Record</v>
      </c>
      <c r="AT291" s="6" t="str">
        <f>HYPERLINK("http://www.worldcat.org/oclc/34903263","WorldCat Record")</f>
        <v>WorldCat Record</v>
      </c>
    </row>
    <row r="292" spans="1:46" ht="40.5" customHeight="1" x14ac:dyDescent="0.25">
      <c r="A292" s="8" t="s">
        <v>58</v>
      </c>
      <c r="B292" s="2" t="s">
        <v>2586</v>
      </c>
      <c r="C292" s="2" t="s">
        <v>2587</v>
      </c>
      <c r="D292" s="2" t="s">
        <v>2588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L292" s="2" t="s">
        <v>2589</v>
      </c>
      <c r="M292" s="3" t="s">
        <v>892</v>
      </c>
      <c r="N292" s="2" t="s">
        <v>143</v>
      </c>
      <c r="O292" s="3" t="s">
        <v>64</v>
      </c>
      <c r="P292" s="3" t="s">
        <v>144</v>
      </c>
      <c r="R292" s="3" t="s">
        <v>1346</v>
      </c>
      <c r="S292" s="4">
        <v>16</v>
      </c>
      <c r="T292" s="4">
        <v>16</v>
      </c>
      <c r="U292" s="5" t="s">
        <v>2590</v>
      </c>
      <c r="V292" s="5" t="s">
        <v>2590</v>
      </c>
      <c r="W292" s="5" t="s">
        <v>2591</v>
      </c>
      <c r="X292" s="5" t="s">
        <v>2591</v>
      </c>
      <c r="Y292" s="4">
        <v>229</v>
      </c>
      <c r="Z292" s="4">
        <v>177</v>
      </c>
      <c r="AA292" s="4">
        <v>184</v>
      </c>
      <c r="AB292" s="4">
        <v>2</v>
      </c>
      <c r="AC292" s="4">
        <v>2</v>
      </c>
      <c r="AD292" s="4">
        <v>4</v>
      </c>
      <c r="AE292" s="4">
        <v>4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1</v>
      </c>
      <c r="AL292" s="4">
        <v>1</v>
      </c>
      <c r="AM292" s="4">
        <v>1</v>
      </c>
      <c r="AN292" s="4">
        <v>0</v>
      </c>
      <c r="AO292" s="4">
        <v>0</v>
      </c>
      <c r="AP292" s="3" t="s">
        <v>58</v>
      </c>
      <c r="AQ292" s="3" t="s">
        <v>115</v>
      </c>
      <c r="AR292" s="6" t="str">
        <f>HYPERLINK("http://catalog.hathitrust.org/Record/003984876","HathiTrust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HYPERLINK("https://creighton-primo.hosted.exlibrisgroup.com/primo-explore/search?tab=default_tab&amp;search_scope=EVERYTHING&amp;vid=01CRU&amp;lang=en_US&amp;offset=0&amp;query=any,contains,991001562689702656","Catalog Record")</f>
        <v>Catalog Record</v>
      </c>
      <c r="AT292" s="6" t="str">
        <f>HYPERLINK("http://www.worldcat.org/oclc/38562329","WorldCat Record")</f>
        <v>WorldCat Record</v>
      </c>
    </row>
    <row r="293" spans="1:46" ht="40.5" customHeight="1" x14ac:dyDescent="0.25">
      <c r="A293" s="8" t="s">
        <v>58</v>
      </c>
      <c r="B293" s="2" t="s">
        <v>2592</v>
      </c>
      <c r="C293" s="2" t="s">
        <v>2593</v>
      </c>
      <c r="D293" s="2" t="s">
        <v>2594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L293" s="2" t="s">
        <v>1404</v>
      </c>
      <c r="M293" s="3" t="s">
        <v>142</v>
      </c>
      <c r="O293" s="3" t="s">
        <v>64</v>
      </c>
      <c r="P293" s="3" t="s">
        <v>1355</v>
      </c>
      <c r="R293" s="3" t="s">
        <v>1346</v>
      </c>
      <c r="S293" s="4">
        <v>4</v>
      </c>
      <c r="T293" s="4">
        <v>4</v>
      </c>
      <c r="U293" s="5" t="s">
        <v>2595</v>
      </c>
      <c r="V293" s="5" t="s">
        <v>2595</v>
      </c>
      <c r="W293" s="5" t="s">
        <v>2596</v>
      </c>
      <c r="X293" s="5" t="s">
        <v>2596</v>
      </c>
      <c r="Y293" s="4">
        <v>40</v>
      </c>
      <c r="Z293" s="4">
        <v>32</v>
      </c>
      <c r="AA293" s="4">
        <v>32</v>
      </c>
      <c r="AB293" s="4">
        <v>1</v>
      </c>
      <c r="AC293" s="4">
        <v>1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HYPERLINK("https://creighton-primo.hosted.exlibrisgroup.com/primo-explore/search?tab=default_tab&amp;search_scope=EVERYTHING&amp;vid=01CRU&amp;lang=en_US&amp;offset=0&amp;query=any,contains,991001303949702656","Catalog Record")</f>
        <v>Catalog Record</v>
      </c>
      <c r="AT293" s="6" t="str">
        <f>HYPERLINK("http://www.worldcat.org/oclc/22381554","WorldCat Record")</f>
        <v>WorldCat Record</v>
      </c>
    </row>
    <row r="294" spans="1:46" ht="40.5" customHeight="1" x14ac:dyDescent="0.25">
      <c r="A294" s="8" t="s">
        <v>58</v>
      </c>
      <c r="B294" s="2" t="s">
        <v>2597</v>
      </c>
      <c r="C294" s="2" t="s">
        <v>2598</v>
      </c>
      <c r="D294" s="2" t="s">
        <v>2599</v>
      </c>
      <c r="F294" s="3" t="s">
        <v>58</v>
      </c>
      <c r="G294" s="3" t="s">
        <v>59</v>
      </c>
      <c r="H294" s="3" t="s">
        <v>58</v>
      </c>
      <c r="I294" s="3" t="s">
        <v>115</v>
      </c>
      <c r="J294" s="3" t="s">
        <v>60</v>
      </c>
      <c r="L294" s="2" t="s">
        <v>2600</v>
      </c>
      <c r="M294" s="3" t="s">
        <v>290</v>
      </c>
      <c r="N294" s="2" t="s">
        <v>2601</v>
      </c>
      <c r="O294" s="3" t="s">
        <v>64</v>
      </c>
      <c r="P294" s="3" t="s">
        <v>1355</v>
      </c>
      <c r="R294" s="3" t="s">
        <v>1346</v>
      </c>
      <c r="S294" s="4">
        <v>64</v>
      </c>
      <c r="T294" s="4">
        <v>64</v>
      </c>
      <c r="U294" s="5" t="s">
        <v>2602</v>
      </c>
      <c r="V294" s="5" t="s">
        <v>2602</v>
      </c>
      <c r="W294" s="5" t="s">
        <v>2603</v>
      </c>
      <c r="X294" s="5" t="s">
        <v>2603</v>
      </c>
      <c r="Y294" s="4">
        <v>106</v>
      </c>
      <c r="Z294" s="4">
        <v>78</v>
      </c>
      <c r="AA294" s="4">
        <v>314</v>
      </c>
      <c r="AB294" s="4">
        <v>1</v>
      </c>
      <c r="AC294" s="4">
        <v>2</v>
      </c>
      <c r="AD294" s="4">
        <v>0</v>
      </c>
      <c r="AE294" s="4">
        <v>6</v>
      </c>
      <c r="AF294" s="4">
        <v>0</v>
      </c>
      <c r="AG294" s="4">
        <v>4</v>
      </c>
      <c r="AH294" s="4">
        <v>0</v>
      </c>
      <c r="AI294" s="4">
        <v>1</v>
      </c>
      <c r="AJ294" s="4">
        <v>0</v>
      </c>
      <c r="AK294" s="4">
        <v>2</v>
      </c>
      <c r="AL294" s="4">
        <v>0</v>
      </c>
      <c r="AM294" s="4">
        <v>1</v>
      </c>
      <c r="AN294" s="4">
        <v>0</v>
      </c>
      <c r="AO294" s="4">
        <v>0</v>
      </c>
      <c r="AP294" s="3" t="s">
        <v>58</v>
      </c>
      <c r="AQ294" s="3" t="s">
        <v>115</v>
      </c>
      <c r="AR294" s="6" t="str">
        <f>HYPERLINK("http://catalog.hathitrust.org/Record/000925102","HathiTrust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HYPERLINK("https://creighton-primo.hosted.exlibrisgroup.com/primo-explore/search?tab=default_tab&amp;search_scope=EVERYTHING&amp;vid=01CRU&amp;lang=en_US&amp;offset=0&amp;query=any,contains,991001416529702656","Catalog Record")</f>
        <v>Catalog Record</v>
      </c>
      <c r="AT294" s="6" t="str">
        <f>HYPERLINK("http://www.worldcat.org/oclc/17805418","WorldCat Record")</f>
        <v>WorldCat Record</v>
      </c>
    </row>
    <row r="295" spans="1:46" ht="40.5" customHeight="1" x14ac:dyDescent="0.25">
      <c r="A295" s="8" t="s">
        <v>58</v>
      </c>
      <c r="B295" s="2" t="s">
        <v>2604</v>
      </c>
      <c r="C295" s="2" t="s">
        <v>2605</v>
      </c>
      <c r="D295" s="2" t="s">
        <v>2606</v>
      </c>
      <c r="F295" s="3" t="s">
        <v>58</v>
      </c>
      <c r="G295" s="3" t="s">
        <v>59</v>
      </c>
      <c r="H295" s="3" t="s">
        <v>58</v>
      </c>
      <c r="I295" s="3" t="s">
        <v>115</v>
      </c>
      <c r="J295" s="3" t="s">
        <v>60</v>
      </c>
      <c r="L295" s="2" t="s">
        <v>2607</v>
      </c>
      <c r="M295" s="3" t="s">
        <v>380</v>
      </c>
      <c r="N295" s="2" t="s">
        <v>1893</v>
      </c>
      <c r="O295" s="3" t="s">
        <v>64</v>
      </c>
      <c r="P295" s="3" t="s">
        <v>291</v>
      </c>
      <c r="R295" s="3" t="s">
        <v>1346</v>
      </c>
      <c r="S295" s="4">
        <v>21</v>
      </c>
      <c r="T295" s="4">
        <v>21</v>
      </c>
      <c r="U295" s="5" t="s">
        <v>2608</v>
      </c>
      <c r="V295" s="5" t="s">
        <v>2608</v>
      </c>
      <c r="W295" s="5" t="s">
        <v>2609</v>
      </c>
      <c r="X295" s="5" t="s">
        <v>2609</v>
      </c>
      <c r="Y295" s="4">
        <v>79</v>
      </c>
      <c r="Z295" s="4">
        <v>64</v>
      </c>
      <c r="AA295" s="4">
        <v>314</v>
      </c>
      <c r="AB295" s="4">
        <v>1</v>
      </c>
      <c r="AC295" s="4">
        <v>2</v>
      </c>
      <c r="AD295" s="4">
        <v>1</v>
      </c>
      <c r="AE295" s="4">
        <v>6</v>
      </c>
      <c r="AF295" s="4">
        <v>1</v>
      </c>
      <c r="AG295" s="4">
        <v>4</v>
      </c>
      <c r="AH295" s="4">
        <v>0</v>
      </c>
      <c r="AI295" s="4">
        <v>1</v>
      </c>
      <c r="AJ295" s="4">
        <v>0</v>
      </c>
      <c r="AK295" s="4">
        <v>2</v>
      </c>
      <c r="AL295" s="4">
        <v>0</v>
      </c>
      <c r="AM295" s="4">
        <v>1</v>
      </c>
      <c r="AN295" s="4">
        <v>0</v>
      </c>
      <c r="AO295" s="4">
        <v>0</v>
      </c>
      <c r="AP295" s="3" t="s">
        <v>58</v>
      </c>
      <c r="AQ295" s="3" t="s">
        <v>115</v>
      </c>
      <c r="AR295" s="6" t="str">
        <f>HYPERLINK("http://catalog.hathitrust.org/Record/002593537","HathiTrust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HYPERLINK("https://creighton-primo.hosted.exlibrisgroup.com/primo-explore/search?tab=default_tab&amp;search_scope=EVERYTHING&amp;vid=01CRU&amp;lang=en_US&amp;offset=0&amp;query=any,contains,991001434779702656","Catalog Record")</f>
        <v>Catalog Record</v>
      </c>
      <c r="AT295" s="6" t="str">
        <f>HYPERLINK("http://www.worldcat.org/oclc/26396582","WorldCat Record")</f>
        <v>WorldCat Record</v>
      </c>
    </row>
    <row r="296" spans="1:46" ht="40.5" customHeight="1" x14ac:dyDescent="0.25">
      <c r="A296" s="8" t="s">
        <v>58</v>
      </c>
      <c r="B296" s="2" t="s">
        <v>2610</v>
      </c>
      <c r="C296" s="2" t="s">
        <v>2611</v>
      </c>
      <c r="D296" s="2" t="s">
        <v>2612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59</v>
      </c>
      <c r="L296" s="2" t="s">
        <v>2613</v>
      </c>
      <c r="M296" s="3" t="s">
        <v>921</v>
      </c>
      <c r="O296" s="3" t="s">
        <v>64</v>
      </c>
      <c r="P296" s="3" t="s">
        <v>96</v>
      </c>
      <c r="Q296" s="2" t="s">
        <v>2614</v>
      </c>
      <c r="R296" s="3" t="s">
        <v>1346</v>
      </c>
      <c r="S296" s="4">
        <v>1</v>
      </c>
      <c r="T296" s="4">
        <v>1</v>
      </c>
      <c r="U296" s="5" t="s">
        <v>2615</v>
      </c>
      <c r="V296" s="5" t="s">
        <v>2615</v>
      </c>
      <c r="W296" s="5" t="s">
        <v>2615</v>
      </c>
      <c r="X296" s="5" t="s">
        <v>2615</v>
      </c>
      <c r="Y296" s="4">
        <v>222</v>
      </c>
      <c r="Z296" s="4">
        <v>153</v>
      </c>
      <c r="AA296" s="4">
        <v>518</v>
      </c>
      <c r="AB296" s="4">
        <v>2</v>
      </c>
      <c r="AC296" s="4">
        <v>3</v>
      </c>
      <c r="AD296" s="4">
        <v>6</v>
      </c>
      <c r="AE296" s="4">
        <v>17</v>
      </c>
      <c r="AF296" s="4">
        <v>2</v>
      </c>
      <c r="AG296" s="4">
        <v>9</v>
      </c>
      <c r="AH296" s="4">
        <v>3</v>
      </c>
      <c r="AI296" s="4">
        <v>5</v>
      </c>
      <c r="AJ296" s="4">
        <v>0</v>
      </c>
      <c r="AK296" s="4">
        <v>6</v>
      </c>
      <c r="AL296" s="4">
        <v>1</v>
      </c>
      <c r="AM296" s="4">
        <v>1</v>
      </c>
      <c r="AN296" s="4">
        <v>0</v>
      </c>
      <c r="AO296" s="4">
        <v>0</v>
      </c>
      <c r="AP296" s="3" t="s">
        <v>58</v>
      </c>
      <c r="AQ296" s="3" t="s">
        <v>115</v>
      </c>
      <c r="AR296" s="6" t="str">
        <f>HYPERLINK("http://catalog.hathitrust.org/Record/004731892","HathiTrust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HYPERLINK("https://creighton-primo.hosted.exlibrisgroup.com/primo-explore/search?tab=default_tab&amp;search_scope=EVERYTHING&amp;vid=01CRU&amp;lang=en_US&amp;offset=0&amp;query=any,contains,991000446459702656","Catalog Record")</f>
        <v>Catalog Record</v>
      </c>
      <c r="AT296" s="6" t="str">
        <f>HYPERLINK("http://www.worldcat.org/oclc/53091284","WorldCat Record")</f>
        <v>WorldCat Record</v>
      </c>
    </row>
    <row r="297" spans="1:46" ht="40.5" customHeight="1" x14ac:dyDescent="0.25">
      <c r="A297" s="8" t="s">
        <v>58</v>
      </c>
      <c r="B297" s="2" t="s">
        <v>2616</v>
      </c>
      <c r="C297" s="2" t="s">
        <v>2617</v>
      </c>
      <c r="D297" s="2" t="s">
        <v>2618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L297" s="2" t="s">
        <v>2619</v>
      </c>
      <c r="M297" s="3" t="s">
        <v>189</v>
      </c>
      <c r="O297" s="3" t="s">
        <v>64</v>
      </c>
      <c r="P297" s="3" t="s">
        <v>144</v>
      </c>
      <c r="R297" s="3" t="s">
        <v>1346</v>
      </c>
      <c r="S297" s="4">
        <v>8</v>
      </c>
      <c r="T297" s="4">
        <v>8</v>
      </c>
      <c r="U297" s="5" t="s">
        <v>2620</v>
      </c>
      <c r="V297" s="5" t="s">
        <v>2620</v>
      </c>
      <c r="W297" s="5" t="s">
        <v>2620</v>
      </c>
      <c r="X297" s="5" t="s">
        <v>2620</v>
      </c>
      <c r="Y297" s="4">
        <v>82</v>
      </c>
      <c r="Z297" s="4">
        <v>71</v>
      </c>
      <c r="AA297" s="4">
        <v>73</v>
      </c>
      <c r="AB297" s="4">
        <v>1</v>
      </c>
      <c r="AC297" s="4">
        <v>1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3" t="s">
        <v>58</v>
      </c>
      <c r="AQ297" s="3" t="s">
        <v>115</v>
      </c>
      <c r="AR297" s="6" t="str">
        <f>HYPERLINK("http://catalog.hathitrust.org/Record/002604096","HathiTrust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HYPERLINK("https://creighton-primo.hosted.exlibrisgroup.com/primo-explore/search?tab=default_tab&amp;search_scope=EVERYTHING&amp;vid=01CRU&amp;lang=en_US&amp;offset=0&amp;query=any,contains,991001352309702656","Catalog Record")</f>
        <v>Catalog Record</v>
      </c>
      <c r="AT297" s="6" t="str">
        <f>HYPERLINK("http://www.worldcat.org/oclc/24792441","WorldCat Record")</f>
        <v>WorldCat Record</v>
      </c>
    </row>
    <row r="298" spans="1:46" ht="40.5" customHeight="1" x14ac:dyDescent="0.25">
      <c r="A298" s="8" t="s">
        <v>58</v>
      </c>
      <c r="B298" s="2" t="s">
        <v>2621</v>
      </c>
      <c r="C298" s="2" t="s">
        <v>2622</v>
      </c>
      <c r="D298" s="2" t="s">
        <v>2623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2624</v>
      </c>
      <c r="L298" s="2" t="s">
        <v>2625</v>
      </c>
      <c r="M298" s="3" t="s">
        <v>189</v>
      </c>
      <c r="N298" s="2" t="s">
        <v>174</v>
      </c>
      <c r="O298" s="3" t="s">
        <v>64</v>
      </c>
      <c r="P298" s="3" t="s">
        <v>190</v>
      </c>
      <c r="R298" s="3" t="s">
        <v>1346</v>
      </c>
      <c r="S298" s="4">
        <v>2</v>
      </c>
      <c r="T298" s="4">
        <v>2</v>
      </c>
      <c r="U298" s="5" t="s">
        <v>2626</v>
      </c>
      <c r="V298" s="5" t="s">
        <v>2626</v>
      </c>
      <c r="W298" s="5" t="s">
        <v>2626</v>
      </c>
      <c r="X298" s="5" t="s">
        <v>2626</v>
      </c>
      <c r="Y298" s="4">
        <v>74</v>
      </c>
      <c r="Z298" s="4">
        <v>40</v>
      </c>
      <c r="AA298" s="4">
        <v>45</v>
      </c>
      <c r="AB298" s="4">
        <v>1</v>
      </c>
      <c r="AC298" s="4">
        <v>1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3" t="s">
        <v>58</v>
      </c>
      <c r="AQ298" s="3" t="s">
        <v>58</v>
      </c>
      <c r="AS298" s="6" t="str">
        <f>HYPERLINK("https://creighton-primo.hosted.exlibrisgroup.com/primo-explore/search?tab=default_tab&amp;search_scope=EVERYTHING&amp;vid=01CRU&amp;lang=en_US&amp;offset=0&amp;query=any,contains,991001036039702656","Catalog Record")</f>
        <v>Catalog Record</v>
      </c>
      <c r="AT298" s="6" t="str">
        <f>HYPERLINK("http://www.worldcat.org/oclc/24373246","WorldCat Record")</f>
        <v>WorldCat Record</v>
      </c>
    </row>
    <row r="299" spans="1:46" ht="40.5" customHeight="1" x14ac:dyDescent="0.25">
      <c r="A299" s="8" t="s">
        <v>58</v>
      </c>
      <c r="B299" s="2" t="s">
        <v>2627</v>
      </c>
      <c r="C299" s="2" t="s">
        <v>2628</v>
      </c>
      <c r="D299" s="2" t="s">
        <v>2629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2630</v>
      </c>
      <c r="L299" s="2" t="s">
        <v>2631</v>
      </c>
      <c r="M299" s="3" t="s">
        <v>1037</v>
      </c>
      <c r="O299" s="3" t="s">
        <v>64</v>
      </c>
      <c r="P299" s="3" t="s">
        <v>144</v>
      </c>
      <c r="R299" s="3" t="s">
        <v>1346</v>
      </c>
      <c r="S299" s="4">
        <v>3</v>
      </c>
      <c r="T299" s="4">
        <v>3</v>
      </c>
      <c r="U299" s="5" t="s">
        <v>2632</v>
      </c>
      <c r="V299" s="5" t="s">
        <v>2632</v>
      </c>
      <c r="W299" s="5" t="s">
        <v>2633</v>
      </c>
      <c r="X299" s="5" t="s">
        <v>2633</v>
      </c>
      <c r="Y299" s="4">
        <v>93</v>
      </c>
      <c r="Z299" s="4">
        <v>70</v>
      </c>
      <c r="AA299" s="4">
        <v>96</v>
      </c>
      <c r="AB299" s="4">
        <v>1</v>
      </c>
      <c r="AC299" s="4">
        <v>1</v>
      </c>
      <c r="AD299" s="4">
        <v>0</v>
      </c>
      <c r="AE299" s="4">
        <v>1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1</v>
      </c>
      <c r="AL299" s="4">
        <v>0</v>
      </c>
      <c r="AM299" s="4">
        <v>0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HYPERLINK("https://creighton-primo.hosted.exlibrisgroup.com/primo-explore/search?tab=default_tab&amp;search_scope=EVERYTHING&amp;vid=01CRU&amp;lang=en_US&amp;offset=0&amp;query=any,contains,991001457459702656","Catalog Record")</f>
        <v>Catalog Record</v>
      </c>
      <c r="AT299" s="6" t="str">
        <f>HYPERLINK("http://www.worldcat.org/oclc/181600919","WorldCat Record")</f>
        <v>WorldCat Record</v>
      </c>
    </row>
    <row r="300" spans="1:46" ht="40.5" customHeight="1" x14ac:dyDescent="0.25">
      <c r="A300" s="8" t="s">
        <v>58</v>
      </c>
      <c r="B300" s="2" t="s">
        <v>2634</v>
      </c>
      <c r="C300" s="2" t="s">
        <v>2635</v>
      </c>
      <c r="D300" s="2" t="s">
        <v>2636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2637</v>
      </c>
      <c r="L300" s="2" t="s">
        <v>2638</v>
      </c>
      <c r="M300" s="3" t="s">
        <v>142</v>
      </c>
      <c r="N300" s="2" t="s">
        <v>143</v>
      </c>
      <c r="O300" s="3" t="s">
        <v>64</v>
      </c>
      <c r="P300" s="3" t="s">
        <v>65</v>
      </c>
      <c r="R300" s="3" t="s">
        <v>1346</v>
      </c>
      <c r="S300" s="4">
        <v>4</v>
      </c>
      <c r="T300" s="4">
        <v>4</v>
      </c>
      <c r="U300" s="5" t="s">
        <v>2639</v>
      </c>
      <c r="V300" s="5" t="s">
        <v>2639</v>
      </c>
      <c r="W300" s="5" t="s">
        <v>2640</v>
      </c>
      <c r="X300" s="5" t="s">
        <v>2640</v>
      </c>
      <c r="Y300" s="4">
        <v>355</v>
      </c>
      <c r="Z300" s="4">
        <v>284</v>
      </c>
      <c r="AA300" s="4">
        <v>1519</v>
      </c>
      <c r="AB300" s="4">
        <v>1</v>
      </c>
      <c r="AC300" s="4">
        <v>5</v>
      </c>
      <c r="AD300" s="4">
        <v>1</v>
      </c>
      <c r="AE300" s="4">
        <v>27</v>
      </c>
      <c r="AF300" s="4">
        <v>0</v>
      </c>
      <c r="AG300" s="4">
        <v>10</v>
      </c>
      <c r="AH300" s="4">
        <v>0</v>
      </c>
      <c r="AI300" s="4">
        <v>5</v>
      </c>
      <c r="AJ300" s="4">
        <v>1</v>
      </c>
      <c r="AK300" s="4">
        <v>14</v>
      </c>
      <c r="AL300" s="4">
        <v>0</v>
      </c>
      <c r="AM300" s="4">
        <v>3</v>
      </c>
      <c r="AN300" s="4">
        <v>0</v>
      </c>
      <c r="AO300" s="4">
        <v>0</v>
      </c>
      <c r="AP300" s="3" t="s">
        <v>58</v>
      </c>
      <c r="AQ300" s="3" t="s">
        <v>115</v>
      </c>
      <c r="AR300" s="6" t="str">
        <f>HYPERLINK("http://catalog.hathitrust.org/Record/002238722","HathiTrust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HYPERLINK("https://creighton-primo.hosted.exlibrisgroup.com/primo-explore/search?tab=default_tab&amp;search_scope=EVERYTHING&amp;vid=01CRU&amp;lang=en_US&amp;offset=0&amp;query=any,contains,991001347459702656","Catalog Record")</f>
        <v>Catalog Record</v>
      </c>
      <c r="AT300" s="6" t="str">
        <f>HYPERLINK("http://www.worldcat.org/oclc/22451060","WorldCat Record")</f>
        <v>WorldCat Record</v>
      </c>
    </row>
    <row r="301" spans="1:46" ht="40.5" customHeight="1" x14ac:dyDescent="0.25">
      <c r="A301" s="8" t="s">
        <v>58</v>
      </c>
      <c r="B301" s="2" t="s">
        <v>2641</v>
      </c>
      <c r="C301" s="2" t="s">
        <v>2642</v>
      </c>
      <c r="D301" s="2" t="s">
        <v>2643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K301" s="2" t="s">
        <v>2644</v>
      </c>
      <c r="L301" s="2" t="s">
        <v>2645</v>
      </c>
      <c r="M301" s="3" t="s">
        <v>1177</v>
      </c>
      <c r="N301" s="2" t="s">
        <v>1362</v>
      </c>
      <c r="O301" s="3" t="s">
        <v>64</v>
      </c>
      <c r="P301" s="3" t="s">
        <v>1355</v>
      </c>
      <c r="R301" s="3" t="s">
        <v>1346</v>
      </c>
      <c r="S301" s="4">
        <v>6</v>
      </c>
      <c r="T301" s="4">
        <v>6</v>
      </c>
      <c r="U301" s="5" t="s">
        <v>2646</v>
      </c>
      <c r="V301" s="5" t="s">
        <v>2646</v>
      </c>
      <c r="W301" s="5" t="s">
        <v>2647</v>
      </c>
      <c r="X301" s="5" t="s">
        <v>2647</v>
      </c>
      <c r="Y301" s="4">
        <v>135</v>
      </c>
      <c r="Z301" s="4">
        <v>130</v>
      </c>
      <c r="AA301" s="4">
        <v>1391</v>
      </c>
      <c r="AB301" s="4">
        <v>3</v>
      </c>
      <c r="AC301" s="4">
        <v>18</v>
      </c>
      <c r="AD301" s="4">
        <v>0</v>
      </c>
      <c r="AE301" s="4">
        <v>12</v>
      </c>
      <c r="AF301" s="4">
        <v>0</v>
      </c>
      <c r="AG301" s="4">
        <v>2</v>
      </c>
      <c r="AH301" s="4">
        <v>0</v>
      </c>
      <c r="AI301" s="4">
        <v>1</v>
      </c>
      <c r="AJ301" s="4">
        <v>0</v>
      </c>
      <c r="AK301" s="4">
        <v>3</v>
      </c>
      <c r="AL301" s="4">
        <v>0</v>
      </c>
      <c r="AM301" s="4">
        <v>5</v>
      </c>
      <c r="AN301" s="4">
        <v>0</v>
      </c>
      <c r="AO301" s="4">
        <v>1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HYPERLINK("https://creighton-primo.hosted.exlibrisgroup.com/primo-explore/search?tab=default_tab&amp;search_scope=EVERYTHING&amp;vid=01CRU&amp;lang=en_US&amp;offset=0&amp;query=any,contains,991000586609702656","Catalog Record")</f>
        <v>Catalog Record</v>
      </c>
      <c r="AT301" s="6" t="str">
        <f>HYPERLINK("http://www.worldcat.org/oclc/15055055","WorldCat Record")</f>
        <v>WorldCat Record</v>
      </c>
    </row>
    <row r="302" spans="1:46" ht="40.5" customHeight="1" x14ac:dyDescent="0.25">
      <c r="A302" s="8" t="s">
        <v>58</v>
      </c>
      <c r="B302" s="2" t="s">
        <v>2648</v>
      </c>
      <c r="C302" s="2" t="s">
        <v>2649</v>
      </c>
      <c r="D302" s="2" t="s">
        <v>2650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2651</v>
      </c>
      <c r="L302" s="2" t="s">
        <v>2652</v>
      </c>
      <c r="M302" s="3" t="s">
        <v>306</v>
      </c>
      <c r="O302" s="3" t="s">
        <v>64</v>
      </c>
      <c r="P302" s="3" t="s">
        <v>265</v>
      </c>
      <c r="R302" s="3" t="s">
        <v>1346</v>
      </c>
      <c r="S302" s="4">
        <v>5</v>
      </c>
      <c r="T302" s="4">
        <v>5</v>
      </c>
      <c r="U302" s="5" t="s">
        <v>2653</v>
      </c>
      <c r="V302" s="5" t="s">
        <v>2653</v>
      </c>
      <c r="W302" s="5" t="s">
        <v>2654</v>
      </c>
      <c r="X302" s="5" t="s">
        <v>2654</v>
      </c>
      <c r="Y302" s="4">
        <v>25</v>
      </c>
      <c r="Z302" s="4">
        <v>20</v>
      </c>
      <c r="AA302" s="4">
        <v>20</v>
      </c>
      <c r="AB302" s="4">
        <v>1</v>
      </c>
      <c r="AC302" s="4">
        <v>1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HYPERLINK("https://creighton-primo.hosted.exlibrisgroup.com/primo-explore/search?tab=default_tab&amp;search_scope=EVERYTHING&amp;vid=01CRU&amp;lang=en_US&amp;offset=0&amp;query=any,contains,991000964339702656","Catalog Record")</f>
        <v>Catalog Record</v>
      </c>
      <c r="AT302" s="6" t="str">
        <f>HYPERLINK("http://www.worldcat.org/oclc/35562195","WorldCat Record")</f>
        <v>WorldCat Record</v>
      </c>
    </row>
    <row r="303" spans="1:46" ht="40.5" customHeight="1" x14ac:dyDescent="0.25">
      <c r="A303" s="8" t="s">
        <v>58</v>
      </c>
      <c r="B303" s="2" t="s">
        <v>2655</v>
      </c>
      <c r="C303" s="2" t="s">
        <v>2656</v>
      </c>
      <c r="D303" s="2" t="s">
        <v>2657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2658</v>
      </c>
      <c r="L303" s="2" t="s">
        <v>2659</v>
      </c>
      <c r="M303" s="3" t="s">
        <v>1023</v>
      </c>
      <c r="O303" s="3" t="s">
        <v>64</v>
      </c>
      <c r="P303" s="3" t="s">
        <v>1406</v>
      </c>
      <c r="R303" s="3" t="s">
        <v>1346</v>
      </c>
      <c r="S303" s="4">
        <v>3</v>
      </c>
      <c r="T303" s="4">
        <v>3</v>
      </c>
      <c r="U303" s="5" t="s">
        <v>2632</v>
      </c>
      <c r="V303" s="5" t="s">
        <v>2632</v>
      </c>
      <c r="W303" s="5" t="s">
        <v>2660</v>
      </c>
      <c r="X303" s="5" t="s">
        <v>2660</v>
      </c>
      <c r="Y303" s="4">
        <v>78</v>
      </c>
      <c r="Z303" s="4">
        <v>63</v>
      </c>
      <c r="AA303" s="4">
        <v>64</v>
      </c>
      <c r="AB303" s="4">
        <v>0</v>
      </c>
      <c r="AC303" s="4">
        <v>0</v>
      </c>
      <c r="AD303" s="4">
        <v>3</v>
      </c>
      <c r="AE303" s="4">
        <v>3</v>
      </c>
      <c r="AF303" s="4">
        <v>2</v>
      </c>
      <c r="AG303" s="4">
        <v>2</v>
      </c>
      <c r="AH303" s="4">
        <v>0</v>
      </c>
      <c r="AI303" s="4">
        <v>0</v>
      </c>
      <c r="AJ303" s="4">
        <v>1</v>
      </c>
      <c r="AK303" s="4">
        <v>1</v>
      </c>
      <c r="AL303" s="4">
        <v>0</v>
      </c>
      <c r="AM303" s="4">
        <v>0</v>
      </c>
      <c r="AN303" s="4">
        <v>0</v>
      </c>
      <c r="AO303" s="4">
        <v>0</v>
      </c>
      <c r="AP303" s="3" t="s">
        <v>58</v>
      </c>
      <c r="AQ303" s="3" t="s">
        <v>58</v>
      </c>
      <c r="AS303" s="6" t="str">
        <f>HYPERLINK("https://creighton-primo.hosted.exlibrisgroup.com/primo-explore/search?tab=default_tab&amp;search_scope=EVERYTHING&amp;vid=01CRU&amp;lang=en_US&amp;offset=0&amp;query=any,contains,991001753319702656","Catalog Record")</f>
        <v>Catalog Record</v>
      </c>
      <c r="AT303" s="6" t="str">
        <f>HYPERLINK("http://www.worldcat.org/oclc/495870776","WorldCat Record")</f>
        <v>WorldCat Record</v>
      </c>
    </row>
    <row r="304" spans="1:46" ht="40.5" customHeight="1" x14ac:dyDescent="0.25">
      <c r="A304" s="8" t="s">
        <v>58</v>
      </c>
      <c r="B304" s="2" t="s">
        <v>2661</v>
      </c>
      <c r="C304" s="2" t="s">
        <v>2662</v>
      </c>
      <c r="D304" s="2" t="s">
        <v>2663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2664</v>
      </c>
      <c r="L304" s="2" t="s">
        <v>2665</v>
      </c>
      <c r="M304" s="3" t="s">
        <v>921</v>
      </c>
      <c r="N304" s="2" t="s">
        <v>936</v>
      </c>
      <c r="O304" s="3" t="s">
        <v>64</v>
      </c>
      <c r="P304" s="3" t="s">
        <v>96</v>
      </c>
      <c r="R304" s="3" t="s">
        <v>1346</v>
      </c>
      <c r="S304" s="4">
        <v>0</v>
      </c>
      <c r="T304" s="4">
        <v>0</v>
      </c>
      <c r="U304" s="5" t="s">
        <v>2666</v>
      </c>
      <c r="V304" s="5" t="s">
        <v>2666</v>
      </c>
      <c r="W304" s="5" t="s">
        <v>2667</v>
      </c>
      <c r="X304" s="5" t="s">
        <v>2667</v>
      </c>
      <c r="Y304" s="4">
        <v>46</v>
      </c>
      <c r="Z304" s="4">
        <v>40</v>
      </c>
      <c r="AA304" s="4">
        <v>71</v>
      </c>
      <c r="AB304" s="4">
        <v>1</v>
      </c>
      <c r="AC304" s="4">
        <v>1</v>
      </c>
      <c r="AD304" s="4">
        <v>3</v>
      </c>
      <c r="AE304" s="4">
        <v>3</v>
      </c>
      <c r="AF304" s="4">
        <v>2</v>
      </c>
      <c r="AG304" s="4">
        <v>2</v>
      </c>
      <c r="AH304" s="4">
        <v>1</v>
      </c>
      <c r="AI304" s="4">
        <v>1</v>
      </c>
      <c r="AJ304" s="4">
        <v>2</v>
      </c>
      <c r="AK304" s="4">
        <v>2</v>
      </c>
      <c r="AL304" s="4">
        <v>0</v>
      </c>
      <c r="AM304" s="4">
        <v>0</v>
      </c>
      <c r="AN304" s="4">
        <v>0</v>
      </c>
      <c r="AO304" s="4">
        <v>0</v>
      </c>
      <c r="AP304" s="3" t="s">
        <v>58</v>
      </c>
      <c r="AQ304" s="3" t="s">
        <v>115</v>
      </c>
      <c r="AR304" s="6" t="str">
        <f>HYPERLINK("http://catalog.hathitrust.org/Record/005240416","HathiTrust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HYPERLINK("https://creighton-primo.hosted.exlibrisgroup.com/primo-explore/search?tab=default_tab&amp;search_scope=EVERYTHING&amp;vid=01CRU&amp;lang=en_US&amp;offset=0&amp;query=any,contains,991000426569702656","Catalog Record")</f>
        <v>Catalog Record</v>
      </c>
      <c r="AT304" s="6" t="str">
        <f>HYPERLINK("http://www.worldcat.org/oclc/53038749","WorldCat Record")</f>
        <v>WorldCat Record</v>
      </c>
    </row>
    <row r="305" spans="1:46" ht="40.5" customHeight="1" x14ac:dyDescent="0.25">
      <c r="A305" s="8" t="s">
        <v>58</v>
      </c>
      <c r="B305" s="2" t="s">
        <v>2668</v>
      </c>
      <c r="C305" s="2" t="s">
        <v>2669</v>
      </c>
      <c r="D305" s="2" t="s">
        <v>2670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L305" s="2" t="s">
        <v>2671</v>
      </c>
      <c r="M305" s="3" t="s">
        <v>1037</v>
      </c>
      <c r="O305" s="3" t="s">
        <v>64</v>
      </c>
      <c r="P305" s="3" t="s">
        <v>65</v>
      </c>
      <c r="R305" s="3" t="s">
        <v>1346</v>
      </c>
      <c r="S305" s="4">
        <v>4</v>
      </c>
      <c r="T305" s="4">
        <v>4</v>
      </c>
      <c r="U305" s="5" t="s">
        <v>2632</v>
      </c>
      <c r="V305" s="5" t="s">
        <v>2632</v>
      </c>
      <c r="W305" s="5" t="s">
        <v>2672</v>
      </c>
      <c r="X305" s="5" t="s">
        <v>2672</v>
      </c>
      <c r="Y305" s="4">
        <v>38</v>
      </c>
      <c r="Z305" s="4">
        <v>23</v>
      </c>
      <c r="AA305" s="4">
        <v>415</v>
      </c>
      <c r="AB305" s="4">
        <v>1</v>
      </c>
      <c r="AC305" s="4">
        <v>15</v>
      </c>
      <c r="AD305" s="4">
        <v>0</v>
      </c>
      <c r="AE305" s="4">
        <v>13</v>
      </c>
      <c r="AF305" s="4">
        <v>0</v>
      </c>
      <c r="AG305" s="4">
        <v>4</v>
      </c>
      <c r="AH305" s="4">
        <v>0</v>
      </c>
      <c r="AI305" s="4">
        <v>1</v>
      </c>
      <c r="AJ305" s="4">
        <v>0</v>
      </c>
      <c r="AK305" s="4">
        <v>1</v>
      </c>
      <c r="AL305" s="4">
        <v>0</v>
      </c>
      <c r="AM305" s="4">
        <v>8</v>
      </c>
      <c r="AN305" s="4">
        <v>0</v>
      </c>
      <c r="AO305" s="4">
        <v>0</v>
      </c>
      <c r="AP305" s="3" t="s">
        <v>58</v>
      </c>
      <c r="AQ305" s="3" t="s">
        <v>58</v>
      </c>
      <c r="AS305" s="6" t="str">
        <f>HYPERLINK("https://creighton-primo.hosted.exlibrisgroup.com/primo-explore/search?tab=default_tab&amp;search_scope=EVERYTHING&amp;vid=01CRU&amp;lang=en_US&amp;offset=0&amp;query=any,contains,991001484809702656","Catalog Record")</f>
        <v>Catalog Record</v>
      </c>
      <c r="AT305" s="6" t="str">
        <f>HYPERLINK("http://www.worldcat.org/oclc/441176531","WorldCat Record")</f>
        <v>WorldCat Record</v>
      </c>
    </row>
    <row r="306" spans="1:46" ht="40.5" customHeight="1" x14ac:dyDescent="0.25">
      <c r="A306" s="8" t="s">
        <v>58</v>
      </c>
      <c r="B306" s="2" t="s">
        <v>2673</v>
      </c>
      <c r="C306" s="2" t="s">
        <v>2674</v>
      </c>
      <c r="D306" s="2" t="s">
        <v>2675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2676</v>
      </c>
      <c r="L306" s="2" t="s">
        <v>2677</v>
      </c>
      <c r="M306" s="3" t="s">
        <v>173</v>
      </c>
      <c r="O306" s="3" t="s">
        <v>64</v>
      </c>
      <c r="P306" s="3" t="s">
        <v>1406</v>
      </c>
      <c r="R306" s="3" t="s">
        <v>1346</v>
      </c>
      <c r="S306" s="4">
        <v>5</v>
      </c>
      <c r="T306" s="4">
        <v>5</v>
      </c>
      <c r="U306" s="5" t="s">
        <v>2678</v>
      </c>
      <c r="V306" s="5" t="s">
        <v>2678</v>
      </c>
      <c r="W306" s="5" t="s">
        <v>658</v>
      </c>
      <c r="X306" s="5" t="s">
        <v>658</v>
      </c>
      <c r="Y306" s="4">
        <v>67</v>
      </c>
      <c r="Z306" s="4">
        <v>46</v>
      </c>
      <c r="AA306" s="4">
        <v>48</v>
      </c>
      <c r="AB306" s="4">
        <v>1</v>
      </c>
      <c r="AC306" s="4">
        <v>1</v>
      </c>
      <c r="AD306" s="4">
        <v>2</v>
      </c>
      <c r="AE306" s="4">
        <v>2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0</v>
      </c>
      <c r="AM306" s="4">
        <v>0</v>
      </c>
      <c r="AN306" s="4">
        <v>0</v>
      </c>
      <c r="AO306" s="4">
        <v>0</v>
      </c>
      <c r="AP306" s="3" t="s">
        <v>58</v>
      </c>
      <c r="AQ306" s="3" t="s">
        <v>115</v>
      </c>
      <c r="AR306" s="6" t="str">
        <f>HYPERLINK("http://catalog.hathitrust.org/Record/005572230","HathiTrust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HYPERLINK("https://creighton-primo.hosted.exlibrisgroup.com/primo-explore/search?tab=default_tab&amp;search_scope=EVERYTHING&amp;vid=01CRU&amp;lang=en_US&amp;offset=0&amp;query=any,contains,991000835849702656","Catalog Record")</f>
        <v>Catalog Record</v>
      </c>
      <c r="AT306" s="6" t="str">
        <f>HYPERLINK("http://www.worldcat.org/oclc/31075186","WorldCat Record")</f>
        <v>WorldCat Record</v>
      </c>
    </row>
    <row r="307" spans="1:46" ht="40.5" customHeight="1" x14ac:dyDescent="0.25">
      <c r="A307" s="8" t="s">
        <v>58</v>
      </c>
      <c r="B307" s="2" t="s">
        <v>2679</v>
      </c>
      <c r="C307" s="2" t="s">
        <v>2680</v>
      </c>
      <c r="D307" s="2" t="s">
        <v>2681</v>
      </c>
      <c r="F307" s="3" t="s">
        <v>58</v>
      </c>
      <c r="G307" s="3" t="s">
        <v>59</v>
      </c>
      <c r="H307" s="3" t="s">
        <v>58</v>
      </c>
      <c r="I307" s="3" t="s">
        <v>115</v>
      </c>
      <c r="J307" s="3" t="s">
        <v>60</v>
      </c>
      <c r="K307" s="2" t="s">
        <v>2682</v>
      </c>
      <c r="L307" s="2" t="s">
        <v>2683</v>
      </c>
      <c r="M307" s="3" t="s">
        <v>365</v>
      </c>
      <c r="N307" s="2" t="s">
        <v>1893</v>
      </c>
      <c r="O307" s="3" t="s">
        <v>64</v>
      </c>
      <c r="P307" s="3" t="s">
        <v>755</v>
      </c>
      <c r="R307" s="3" t="s">
        <v>1346</v>
      </c>
      <c r="S307" s="4">
        <v>12</v>
      </c>
      <c r="T307" s="4">
        <v>12</v>
      </c>
      <c r="U307" s="5" t="s">
        <v>2556</v>
      </c>
      <c r="V307" s="5" t="s">
        <v>2556</v>
      </c>
      <c r="W307" s="5" t="s">
        <v>1422</v>
      </c>
      <c r="X307" s="5" t="s">
        <v>1422</v>
      </c>
      <c r="Y307" s="4">
        <v>98</v>
      </c>
      <c r="Z307" s="4">
        <v>81</v>
      </c>
      <c r="AA307" s="4">
        <v>189</v>
      </c>
      <c r="AB307" s="4">
        <v>2</v>
      </c>
      <c r="AC307" s="4">
        <v>2</v>
      </c>
      <c r="AD307" s="4">
        <v>1</v>
      </c>
      <c r="AE307" s="4">
        <v>6</v>
      </c>
      <c r="AF307" s="4">
        <v>0</v>
      </c>
      <c r="AG307" s="4">
        <v>4</v>
      </c>
      <c r="AH307" s="4">
        <v>0</v>
      </c>
      <c r="AI307" s="4">
        <v>1</v>
      </c>
      <c r="AJ307" s="4">
        <v>0</v>
      </c>
      <c r="AK307" s="4">
        <v>1</v>
      </c>
      <c r="AL307" s="4">
        <v>1</v>
      </c>
      <c r="AM307" s="4">
        <v>1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HYPERLINK("https://creighton-primo.hosted.exlibrisgroup.com/primo-explore/search?tab=default_tab&amp;search_scope=EVERYTHING&amp;vid=01CRU&amp;lang=en_US&amp;offset=0&amp;query=any,contains,991001250889702656","Catalog Record")</f>
        <v>Catalog Record</v>
      </c>
      <c r="AT307" s="6" t="str">
        <f>HYPERLINK("http://www.worldcat.org/oclc/34974268","WorldCat Record")</f>
        <v>WorldCat Record</v>
      </c>
    </row>
    <row r="308" spans="1:46" ht="40.5" customHeight="1" x14ac:dyDescent="0.25">
      <c r="A308" s="8" t="s">
        <v>58</v>
      </c>
      <c r="B308" s="2" t="s">
        <v>2684</v>
      </c>
      <c r="C308" s="2" t="s">
        <v>2685</v>
      </c>
      <c r="D308" s="2" t="s">
        <v>2686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L308" s="2" t="s">
        <v>2687</v>
      </c>
      <c r="M308" s="3" t="s">
        <v>189</v>
      </c>
      <c r="N308" s="2" t="s">
        <v>174</v>
      </c>
      <c r="O308" s="3" t="s">
        <v>64</v>
      </c>
      <c r="P308" s="3" t="s">
        <v>190</v>
      </c>
      <c r="R308" s="3" t="s">
        <v>1346</v>
      </c>
      <c r="S308" s="4">
        <v>24</v>
      </c>
      <c r="T308" s="4">
        <v>24</v>
      </c>
      <c r="U308" s="5" t="s">
        <v>2688</v>
      </c>
      <c r="V308" s="5" t="s">
        <v>2688</v>
      </c>
      <c r="W308" s="5" t="s">
        <v>2689</v>
      </c>
      <c r="X308" s="5" t="s">
        <v>2689</v>
      </c>
      <c r="Y308" s="4">
        <v>81</v>
      </c>
      <c r="Z308" s="4">
        <v>50</v>
      </c>
      <c r="AA308" s="4">
        <v>57</v>
      </c>
      <c r="AB308" s="4">
        <v>1</v>
      </c>
      <c r="AC308" s="4">
        <v>1</v>
      </c>
      <c r="AD308" s="4">
        <v>1</v>
      </c>
      <c r="AE308" s="4">
        <v>1</v>
      </c>
      <c r="AF308" s="4">
        <v>1</v>
      </c>
      <c r="AG308" s="4">
        <v>1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3" t="s">
        <v>58</v>
      </c>
      <c r="AQ308" s="3" t="s">
        <v>115</v>
      </c>
      <c r="AR308" s="6" t="str">
        <f>HYPERLINK("http://catalog.hathitrust.org/Record/002545340","HathiTrust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HYPERLINK("https://creighton-primo.hosted.exlibrisgroup.com/primo-explore/search?tab=default_tab&amp;search_scope=EVERYTHING&amp;vid=01CRU&amp;lang=en_US&amp;offset=0&amp;query=any,contains,991001303189702656","Catalog Record")</f>
        <v>Catalog Record</v>
      </c>
      <c r="AT308" s="6" t="str">
        <f>HYPERLINK("http://www.worldcat.org/oclc/24793598","WorldCat Record")</f>
        <v>WorldCat Record</v>
      </c>
    </row>
    <row r="309" spans="1:46" ht="40.5" customHeight="1" x14ac:dyDescent="0.25">
      <c r="A309" s="8" t="s">
        <v>58</v>
      </c>
      <c r="B309" s="2" t="s">
        <v>2690</v>
      </c>
      <c r="C309" s="2" t="s">
        <v>2691</v>
      </c>
      <c r="D309" s="2" t="s">
        <v>2692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L309" s="2" t="s">
        <v>2693</v>
      </c>
      <c r="M309" s="3" t="s">
        <v>993</v>
      </c>
      <c r="N309" s="2" t="s">
        <v>143</v>
      </c>
      <c r="O309" s="3" t="s">
        <v>64</v>
      </c>
      <c r="P309" s="3" t="s">
        <v>65</v>
      </c>
      <c r="R309" s="3" t="s">
        <v>1346</v>
      </c>
      <c r="S309" s="4">
        <v>1</v>
      </c>
      <c r="T309" s="4">
        <v>1</v>
      </c>
      <c r="U309" s="5" t="s">
        <v>614</v>
      </c>
      <c r="V309" s="5" t="s">
        <v>614</v>
      </c>
      <c r="W309" s="5" t="s">
        <v>2694</v>
      </c>
      <c r="X309" s="5" t="s">
        <v>2694</v>
      </c>
      <c r="Y309" s="4">
        <v>155</v>
      </c>
      <c r="Z309" s="4">
        <v>126</v>
      </c>
      <c r="AA309" s="4">
        <v>236</v>
      </c>
      <c r="AB309" s="4">
        <v>1</v>
      </c>
      <c r="AC309" s="4">
        <v>1</v>
      </c>
      <c r="AD309" s="4">
        <v>6</v>
      </c>
      <c r="AE309" s="4">
        <v>9</v>
      </c>
      <c r="AF309" s="4">
        <v>3</v>
      </c>
      <c r="AG309" s="4">
        <v>6</v>
      </c>
      <c r="AH309" s="4">
        <v>0</v>
      </c>
      <c r="AI309" s="4">
        <v>0</v>
      </c>
      <c r="AJ309" s="4">
        <v>4</v>
      </c>
      <c r="AK309" s="4">
        <v>6</v>
      </c>
      <c r="AL309" s="4">
        <v>0</v>
      </c>
      <c r="AM309" s="4">
        <v>0</v>
      </c>
      <c r="AN309" s="4">
        <v>0</v>
      </c>
      <c r="AO309" s="4">
        <v>0</v>
      </c>
      <c r="AP309" s="3" t="s">
        <v>58</v>
      </c>
      <c r="AQ309" s="3" t="s">
        <v>58</v>
      </c>
      <c r="AS309" s="6" t="str">
        <f>HYPERLINK("https://creighton-primo.hosted.exlibrisgroup.com/primo-explore/search?tab=default_tab&amp;search_scope=EVERYTHING&amp;vid=01CRU&amp;lang=en_US&amp;offset=0&amp;query=any,contains,991001420489702656","Catalog Record")</f>
        <v>Catalog Record</v>
      </c>
      <c r="AT309" s="6" t="str">
        <f>HYPERLINK("http://www.worldcat.org/oclc/39465437","WorldCat Record")</f>
        <v>WorldCat Record</v>
      </c>
    </row>
    <row r="310" spans="1:46" ht="40.5" customHeight="1" x14ac:dyDescent="0.25">
      <c r="A310" s="8" t="s">
        <v>58</v>
      </c>
      <c r="B310" s="2" t="s">
        <v>2695</v>
      </c>
      <c r="C310" s="2" t="s">
        <v>2696</v>
      </c>
      <c r="D310" s="2" t="s">
        <v>2697</v>
      </c>
      <c r="F310" s="3" t="s">
        <v>58</v>
      </c>
      <c r="G310" s="3" t="s">
        <v>59</v>
      </c>
      <c r="H310" s="3" t="s">
        <v>58</v>
      </c>
      <c r="I310" s="3" t="s">
        <v>115</v>
      </c>
      <c r="J310" s="3" t="s">
        <v>60</v>
      </c>
      <c r="K310" s="2" t="s">
        <v>2434</v>
      </c>
      <c r="L310" s="2" t="s">
        <v>2698</v>
      </c>
      <c r="M310" s="3" t="s">
        <v>921</v>
      </c>
      <c r="N310" s="2" t="s">
        <v>1354</v>
      </c>
      <c r="O310" s="3" t="s">
        <v>64</v>
      </c>
      <c r="P310" s="3" t="s">
        <v>755</v>
      </c>
      <c r="R310" s="3" t="s">
        <v>1346</v>
      </c>
      <c r="S310" s="4">
        <v>4</v>
      </c>
      <c r="T310" s="4">
        <v>4</v>
      </c>
      <c r="U310" s="5" t="s">
        <v>2699</v>
      </c>
      <c r="V310" s="5" t="s">
        <v>2699</v>
      </c>
      <c r="W310" s="5" t="s">
        <v>923</v>
      </c>
      <c r="X310" s="5" t="s">
        <v>923</v>
      </c>
      <c r="Y310" s="4">
        <v>177</v>
      </c>
      <c r="Z310" s="4">
        <v>117</v>
      </c>
      <c r="AA310" s="4">
        <v>264</v>
      </c>
      <c r="AB310" s="4">
        <v>2</v>
      </c>
      <c r="AC310" s="4">
        <v>2</v>
      </c>
      <c r="AD310" s="4">
        <v>6</v>
      </c>
      <c r="AE310" s="4">
        <v>12</v>
      </c>
      <c r="AF310" s="4">
        <v>3</v>
      </c>
      <c r="AG310" s="4">
        <v>8</v>
      </c>
      <c r="AH310" s="4">
        <v>2</v>
      </c>
      <c r="AI310" s="4">
        <v>3</v>
      </c>
      <c r="AJ310" s="4">
        <v>1</v>
      </c>
      <c r="AK310" s="4">
        <v>3</v>
      </c>
      <c r="AL310" s="4">
        <v>1</v>
      </c>
      <c r="AM310" s="4">
        <v>1</v>
      </c>
      <c r="AN310" s="4">
        <v>0</v>
      </c>
      <c r="AO310" s="4">
        <v>0</v>
      </c>
      <c r="AP310" s="3" t="s">
        <v>58</v>
      </c>
      <c r="AQ310" s="3" t="s">
        <v>115</v>
      </c>
      <c r="AR310" s="6" t="str">
        <f>HYPERLINK("http://catalog.hathitrust.org/Record/004734769","HathiTrust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HYPERLINK("https://creighton-primo.hosted.exlibrisgroup.com/primo-explore/search?tab=default_tab&amp;search_scope=EVERYTHING&amp;vid=01CRU&amp;lang=en_US&amp;offset=0&amp;query=any,contains,991000405709702656","Catalog Record")</f>
        <v>Catalog Record</v>
      </c>
      <c r="AT310" s="6" t="str">
        <f>HYPERLINK("http://www.worldcat.org/oclc/53896589","WorldCat Record")</f>
        <v>WorldCat Record</v>
      </c>
    </row>
    <row r="311" spans="1:46" ht="40.5" customHeight="1" x14ac:dyDescent="0.25">
      <c r="A311" s="8" t="s">
        <v>58</v>
      </c>
      <c r="B311" s="2" t="s">
        <v>2700</v>
      </c>
      <c r="C311" s="2" t="s">
        <v>2701</v>
      </c>
      <c r="D311" s="2" t="s">
        <v>2702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K311" s="2" t="s">
        <v>2703</v>
      </c>
      <c r="L311" s="2" t="s">
        <v>2704</v>
      </c>
      <c r="M311" s="3" t="s">
        <v>189</v>
      </c>
      <c r="N311" s="2" t="s">
        <v>1893</v>
      </c>
      <c r="O311" s="3" t="s">
        <v>64</v>
      </c>
      <c r="P311" s="3" t="s">
        <v>1374</v>
      </c>
      <c r="R311" s="3" t="s">
        <v>1346</v>
      </c>
      <c r="S311" s="4">
        <v>12</v>
      </c>
      <c r="T311" s="4">
        <v>12</v>
      </c>
      <c r="U311" s="5" t="s">
        <v>2705</v>
      </c>
      <c r="V311" s="5" t="s">
        <v>2705</v>
      </c>
      <c r="W311" s="5" t="s">
        <v>2706</v>
      </c>
      <c r="X311" s="5" t="s">
        <v>2706</v>
      </c>
      <c r="Y311" s="4">
        <v>270</v>
      </c>
      <c r="Z311" s="4">
        <v>229</v>
      </c>
      <c r="AA311" s="4">
        <v>380</v>
      </c>
      <c r="AB311" s="4">
        <v>2</v>
      </c>
      <c r="AC311" s="4">
        <v>3</v>
      </c>
      <c r="AD311" s="4">
        <v>3</v>
      </c>
      <c r="AE311" s="4">
        <v>6</v>
      </c>
      <c r="AF311" s="4">
        <v>1</v>
      </c>
      <c r="AG311" s="4">
        <v>1</v>
      </c>
      <c r="AH311" s="4">
        <v>1</v>
      </c>
      <c r="AI311" s="4">
        <v>2</v>
      </c>
      <c r="AJ311" s="4">
        <v>2</v>
      </c>
      <c r="AK311" s="4">
        <v>4</v>
      </c>
      <c r="AL311" s="4">
        <v>0</v>
      </c>
      <c r="AM311" s="4">
        <v>0</v>
      </c>
      <c r="AN311" s="4">
        <v>0</v>
      </c>
      <c r="AO311" s="4">
        <v>0</v>
      </c>
      <c r="AP311" s="3" t="s">
        <v>58</v>
      </c>
      <c r="AQ311" s="3" t="s">
        <v>115</v>
      </c>
      <c r="AR311" s="6" t="str">
        <f>HYPERLINK("http://catalog.hathitrust.org/Record/002557735","HathiTrust Record")</f>
        <v>HathiTrust Record</v>
      </c>
      <c r="AS311" s="6" t="str">
        <f>HYPERLINK("https://creighton-primo.hosted.exlibrisgroup.com/primo-explore/search?tab=default_tab&amp;search_scope=EVERYTHING&amp;vid=01CRU&amp;lang=en_US&amp;offset=0&amp;query=any,contains,991001304939702656","Catalog Record")</f>
        <v>Catalog Record</v>
      </c>
      <c r="AT311" s="6" t="str">
        <f>HYPERLINK("http://www.worldcat.org/oclc/25594272","WorldCat Record")</f>
        <v>WorldCat Record</v>
      </c>
    </row>
    <row r="312" spans="1:46" ht="40.5" customHeight="1" x14ac:dyDescent="0.25">
      <c r="A312" s="8" t="s">
        <v>58</v>
      </c>
      <c r="B312" s="2" t="s">
        <v>2707</v>
      </c>
      <c r="C312" s="2" t="s">
        <v>2708</v>
      </c>
      <c r="D312" s="2" t="s">
        <v>2709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2710</v>
      </c>
      <c r="L312" s="2" t="s">
        <v>2711</v>
      </c>
      <c r="M312" s="3" t="s">
        <v>907</v>
      </c>
      <c r="N312" s="2" t="s">
        <v>143</v>
      </c>
      <c r="O312" s="3" t="s">
        <v>64</v>
      </c>
      <c r="P312" s="3" t="s">
        <v>144</v>
      </c>
      <c r="R312" s="3" t="s">
        <v>1346</v>
      </c>
      <c r="S312" s="4">
        <v>0</v>
      </c>
      <c r="T312" s="4">
        <v>0</v>
      </c>
      <c r="U312" s="5" t="s">
        <v>2712</v>
      </c>
      <c r="V312" s="5" t="s">
        <v>2712</v>
      </c>
      <c r="W312" s="5" t="s">
        <v>2713</v>
      </c>
      <c r="X312" s="5" t="s">
        <v>2713</v>
      </c>
      <c r="Y312" s="4">
        <v>92</v>
      </c>
      <c r="Z312" s="4">
        <v>51</v>
      </c>
      <c r="AA312" s="4">
        <v>477</v>
      </c>
      <c r="AB312" s="4">
        <v>1</v>
      </c>
      <c r="AC312" s="4">
        <v>5</v>
      </c>
      <c r="AD312" s="4">
        <v>2</v>
      </c>
      <c r="AE312" s="4">
        <v>24</v>
      </c>
      <c r="AF312" s="4">
        <v>1</v>
      </c>
      <c r="AG312" s="4">
        <v>8</v>
      </c>
      <c r="AH312" s="4">
        <v>0</v>
      </c>
      <c r="AI312" s="4">
        <v>7</v>
      </c>
      <c r="AJ312" s="4">
        <v>1</v>
      </c>
      <c r="AK312" s="4">
        <v>7</v>
      </c>
      <c r="AL312" s="4">
        <v>0</v>
      </c>
      <c r="AM312" s="4">
        <v>4</v>
      </c>
      <c r="AN312" s="4">
        <v>0</v>
      </c>
      <c r="AO312" s="4">
        <v>1</v>
      </c>
      <c r="AP312" s="3" t="s">
        <v>58</v>
      </c>
      <c r="AQ312" s="3" t="s">
        <v>58</v>
      </c>
      <c r="AS312" s="6" t="str">
        <f>HYPERLINK("https://creighton-primo.hosted.exlibrisgroup.com/primo-explore/search?tab=default_tab&amp;search_scope=EVERYTHING&amp;vid=01CRU&amp;lang=en_US&amp;offset=0&amp;query=any,contains,991000561529702656","Catalog Record")</f>
        <v>Catalog Record</v>
      </c>
      <c r="AT312" s="6" t="str">
        <f>HYPERLINK("http://www.worldcat.org/oclc/60697124","WorldCat Record")</f>
        <v>WorldCat Record</v>
      </c>
    </row>
    <row r="313" spans="1:46" ht="40.5" customHeight="1" x14ac:dyDescent="0.25">
      <c r="A313" s="8" t="s">
        <v>58</v>
      </c>
      <c r="B313" s="2" t="s">
        <v>2714</v>
      </c>
      <c r="C313" s="2" t="s">
        <v>2715</v>
      </c>
      <c r="D313" s="2" t="s">
        <v>2716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K313" s="2" t="s">
        <v>2717</v>
      </c>
      <c r="L313" s="2" t="s">
        <v>2718</v>
      </c>
      <c r="M313" s="3" t="s">
        <v>1122</v>
      </c>
      <c r="O313" s="3" t="s">
        <v>64</v>
      </c>
      <c r="P313" s="3" t="s">
        <v>1355</v>
      </c>
      <c r="R313" s="3" t="s">
        <v>1346</v>
      </c>
      <c r="S313" s="4">
        <v>12</v>
      </c>
      <c r="T313" s="4">
        <v>12</v>
      </c>
      <c r="U313" s="5" t="s">
        <v>2556</v>
      </c>
      <c r="V313" s="5" t="s">
        <v>2556</v>
      </c>
      <c r="W313" s="5" t="s">
        <v>2719</v>
      </c>
      <c r="X313" s="5" t="s">
        <v>2719</v>
      </c>
      <c r="Y313" s="4">
        <v>175</v>
      </c>
      <c r="Z313" s="4">
        <v>144</v>
      </c>
      <c r="AA313" s="4">
        <v>201</v>
      </c>
      <c r="AB313" s="4">
        <v>2</v>
      </c>
      <c r="AC313" s="4">
        <v>2</v>
      </c>
      <c r="AD313" s="4">
        <v>4</v>
      </c>
      <c r="AE313" s="4">
        <v>6</v>
      </c>
      <c r="AF313" s="4">
        <v>2</v>
      </c>
      <c r="AG313" s="4">
        <v>3</v>
      </c>
      <c r="AH313" s="4">
        <v>2</v>
      </c>
      <c r="AI313" s="4">
        <v>2</v>
      </c>
      <c r="AJ313" s="4">
        <v>1</v>
      </c>
      <c r="AK313" s="4">
        <v>2</v>
      </c>
      <c r="AL313" s="4">
        <v>0</v>
      </c>
      <c r="AM313" s="4">
        <v>0</v>
      </c>
      <c r="AN313" s="4">
        <v>0</v>
      </c>
      <c r="AO313" s="4">
        <v>0</v>
      </c>
      <c r="AP313" s="3" t="s">
        <v>58</v>
      </c>
      <c r="AQ313" s="3" t="s">
        <v>115</v>
      </c>
      <c r="AR313" s="6" t="str">
        <f>HYPERLINK("http://catalog.hathitrust.org/Record/002181034","HathiTrust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HYPERLINK("https://creighton-primo.hosted.exlibrisgroup.com/primo-explore/search?tab=default_tab&amp;search_scope=EVERYTHING&amp;vid=01CRU&amp;lang=en_US&amp;offset=0&amp;query=any,contains,991001451809702656","Catalog Record")</f>
        <v>Catalog Record</v>
      </c>
      <c r="AT313" s="6" t="str">
        <f>HYPERLINK("http://www.worldcat.org/oclc/20823488","WorldCat Record")</f>
        <v>WorldCat Record</v>
      </c>
    </row>
    <row r="314" spans="1:46" ht="40.5" customHeight="1" x14ac:dyDescent="0.25">
      <c r="A314" s="8" t="s">
        <v>58</v>
      </c>
      <c r="B314" s="2" t="s">
        <v>2720</v>
      </c>
      <c r="C314" s="2" t="s">
        <v>2721</v>
      </c>
      <c r="D314" s="2" t="s">
        <v>2722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K314" s="2" t="s">
        <v>2723</v>
      </c>
      <c r="L314" s="2" t="s">
        <v>2724</v>
      </c>
      <c r="M314" s="3" t="s">
        <v>306</v>
      </c>
      <c r="N314" s="2" t="s">
        <v>936</v>
      </c>
      <c r="O314" s="3" t="s">
        <v>64</v>
      </c>
      <c r="P314" s="3" t="s">
        <v>144</v>
      </c>
      <c r="R314" s="3" t="s">
        <v>1346</v>
      </c>
      <c r="S314" s="4">
        <v>6</v>
      </c>
      <c r="T314" s="4">
        <v>6</v>
      </c>
      <c r="U314" s="5" t="s">
        <v>1790</v>
      </c>
      <c r="V314" s="5" t="s">
        <v>1790</v>
      </c>
      <c r="W314" s="5" t="s">
        <v>2725</v>
      </c>
      <c r="X314" s="5" t="s">
        <v>2725</v>
      </c>
      <c r="Y314" s="4">
        <v>181</v>
      </c>
      <c r="Z314" s="4">
        <v>159</v>
      </c>
      <c r="AA314" s="4">
        <v>242</v>
      </c>
      <c r="AB314" s="4">
        <v>1</v>
      </c>
      <c r="AC314" s="4">
        <v>1</v>
      </c>
      <c r="AD314" s="4">
        <v>3</v>
      </c>
      <c r="AE314" s="4">
        <v>5</v>
      </c>
      <c r="AF314" s="4">
        <v>1</v>
      </c>
      <c r="AG314" s="4">
        <v>1</v>
      </c>
      <c r="AH314" s="4">
        <v>0</v>
      </c>
      <c r="AI314" s="4">
        <v>0</v>
      </c>
      <c r="AJ314" s="4">
        <v>2</v>
      </c>
      <c r="AK314" s="4">
        <v>4</v>
      </c>
      <c r="AL314" s="4">
        <v>0</v>
      </c>
      <c r="AM314" s="4">
        <v>0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HYPERLINK("https://creighton-primo.hosted.exlibrisgroup.com/primo-explore/search?tab=default_tab&amp;search_scope=EVERYTHING&amp;vid=01CRU&amp;lang=en_US&amp;offset=0&amp;query=any,contains,991000833139702656","Catalog Record")</f>
        <v>Catalog Record</v>
      </c>
      <c r="AT314" s="6" t="str">
        <f>HYPERLINK("http://www.worldcat.org/oclc/32970360","WorldCat Record")</f>
        <v>WorldCat Record</v>
      </c>
    </row>
    <row r="315" spans="1:46" ht="40.5" customHeight="1" x14ac:dyDescent="0.25">
      <c r="A315" s="8" t="s">
        <v>58</v>
      </c>
      <c r="B315" s="2" t="s">
        <v>2726</v>
      </c>
      <c r="C315" s="2" t="s">
        <v>2727</v>
      </c>
      <c r="D315" s="2" t="s">
        <v>2728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2729</v>
      </c>
      <c r="L315" s="2" t="s">
        <v>2730</v>
      </c>
      <c r="M315" s="3" t="s">
        <v>572</v>
      </c>
      <c r="O315" s="3" t="s">
        <v>64</v>
      </c>
      <c r="P315" s="3" t="s">
        <v>65</v>
      </c>
      <c r="R315" s="3" t="s">
        <v>1346</v>
      </c>
      <c r="S315" s="4">
        <v>0</v>
      </c>
      <c r="T315" s="4">
        <v>0</v>
      </c>
      <c r="U315" s="5" t="s">
        <v>2731</v>
      </c>
      <c r="V315" s="5" t="s">
        <v>2731</v>
      </c>
      <c r="W315" s="5" t="s">
        <v>2732</v>
      </c>
      <c r="X315" s="5" t="s">
        <v>2732</v>
      </c>
      <c r="Y315" s="4">
        <v>27</v>
      </c>
      <c r="Z315" s="4">
        <v>27</v>
      </c>
      <c r="AA315" s="4">
        <v>27</v>
      </c>
      <c r="AB315" s="4">
        <v>1</v>
      </c>
      <c r="AC315" s="4">
        <v>1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3" t="s">
        <v>58</v>
      </c>
      <c r="AQ315" s="3" t="s">
        <v>58</v>
      </c>
      <c r="AS315" s="6" t="str">
        <f>HYPERLINK("https://creighton-primo.hosted.exlibrisgroup.com/primo-explore/search?tab=default_tab&amp;search_scope=EVERYTHING&amp;vid=01CRU&amp;lang=en_US&amp;offset=0&amp;query=any,contains,991000531949702656","Catalog Record")</f>
        <v>Catalog Record</v>
      </c>
      <c r="AT315" s="6" t="str">
        <f>HYPERLINK("http://www.worldcat.org/oclc/50573710","WorldCat Record")</f>
        <v>WorldCat Record</v>
      </c>
    </row>
    <row r="316" spans="1:46" ht="40.5" customHeight="1" x14ac:dyDescent="0.25">
      <c r="A316" s="8" t="s">
        <v>58</v>
      </c>
      <c r="B316" s="2" t="s">
        <v>2733</v>
      </c>
      <c r="C316" s="2" t="s">
        <v>2734</v>
      </c>
      <c r="D316" s="2" t="s">
        <v>2735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60</v>
      </c>
      <c r="L316" s="2" t="s">
        <v>2736</v>
      </c>
      <c r="M316" s="3" t="s">
        <v>1023</v>
      </c>
      <c r="O316" s="3" t="s">
        <v>64</v>
      </c>
      <c r="P316" s="3" t="s">
        <v>144</v>
      </c>
      <c r="R316" s="3" t="s">
        <v>1346</v>
      </c>
      <c r="S316" s="4">
        <v>2</v>
      </c>
      <c r="T316" s="4">
        <v>2</v>
      </c>
      <c r="U316" s="5" t="s">
        <v>2632</v>
      </c>
      <c r="V316" s="5" t="s">
        <v>2632</v>
      </c>
      <c r="W316" s="5" t="s">
        <v>2737</v>
      </c>
      <c r="X316" s="5" t="s">
        <v>2737</v>
      </c>
      <c r="Y316" s="4">
        <v>35</v>
      </c>
      <c r="Z316" s="4">
        <v>28</v>
      </c>
      <c r="AA316" s="4">
        <v>33</v>
      </c>
      <c r="AB316" s="4">
        <v>1</v>
      </c>
      <c r="AC316" s="4">
        <v>1</v>
      </c>
      <c r="AD316" s="4">
        <v>1</v>
      </c>
      <c r="AE316" s="4">
        <v>1</v>
      </c>
      <c r="AF316" s="4">
        <v>0</v>
      </c>
      <c r="AG316" s="4">
        <v>0</v>
      </c>
      <c r="AH316" s="4">
        <v>0</v>
      </c>
      <c r="AI316" s="4">
        <v>0</v>
      </c>
      <c r="AJ316" s="4">
        <v>1</v>
      </c>
      <c r="AK316" s="4">
        <v>1</v>
      </c>
      <c r="AL316" s="4">
        <v>0</v>
      </c>
      <c r="AM316" s="4">
        <v>0</v>
      </c>
      <c r="AN316" s="4">
        <v>0</v>
      </c>
      <c r="AO316" s="4">
        <v>0</v>
      </c>
      <c r="AP316" s="3" t="s">
        <v>58</v>
      </c>
      <c r="AQ316" s="3" t="s">
        <v>58</v>
      </c>
      <c r="AS316" s="6" t="str">
        <f>HYPERLINK("https://creighton-primo.hosted.exlibrisgroup.com/primo-explore/search?tab=default_tab&amp;search_scope=EVERYTHING&amp;vid=01CRU&amp;lang=en_US&amp;offset=0&amp;query=any,contains,991000674239702656","Catalog Record")</f>
        <v>Catalog Record</v>
      </c>
      <c r="AT316" s="6" t="str">
        <f>HYPERLINK("http://www.worldcat.org/oclc/67872770","WorldCat Record")</f>
        <v>WorldCat Record</v>
      </c>
    </row>
    <row r="317" spans="1:46" ht="40.5" customHeight="1" x14ac:dyDescent="0.25">
      <c r="A317" s="8" t="s">
        <v>58</v>
      </c>
      <c r="B317" s="2" t="s">
        <v>2738</v>
      </c>
      <c r="C317" s="2" t="s">
        <v>2739</v>
      </c>
      <c r="D317" s="2" t="s">
        <v>2740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L317" s="2" t="s">
        <v>2741</v>
      </c>
      <c r="M317" s="3" t="s">
        <v>2202</v>
      </c>
      <c r="N317" s="2" t="s">
        <v>143</v>
      </c>
      <c r="O317" s="3" t="s">
        <v>64</v>
      </c>
      <c r="P317" s="3" t="s">
        <v>291</v>
      </c>
      <c r="R317" s="3" t="s">
        <v>1346</v>
      </c>
      <c r="S317" s="4">
        <v>7</v>
      </c>
      <c r="T317" s="4">
        <v>7</v>
      </c>
      <c r="U317" s="5" t="s">
        <v>2742</v>
      </c>
      <c r="V317" s="5" t="s">
        <v>2742</v>
      </c>
      <c r="W317" s="5" t="s">
        <v>2456</v>
      </c>
      <c r="X317" s="5" t="s">
        <v>2456</v>
      </c>
      <c r="Y317" s="4">
        <v>45</v>
      </c>
      <c r="Z317" s="4">
        <v>39</v>
      </c>
      <c r="AA317" s="4">
        <v>93</v>
      </c>
      <c r="AB317" s="4">
        <v>2</v>
      </c>
      <c r="AC317" s="4">
        <v>2</v>
      </c>
      <c r="AD317" s="4">
        <v>3</v>
      </c>
      <c r="AE317" s="4">
        <v>4</v>
      </c>
      <c r="AF317" s="4">
        <v>0</v>
      </c>
      <c r="AG317" s="4">
        <v>0</v>
      </c>
      <c r="AH317" s="4">
        <v>1</v>
      </c>
      <c r="AI317" s="4">
        <v>2</v>
      </c>
      <c r="AJ317" s="4">
        <v>2</v>
      </c>
      <c r="AK317" s="4">
        <v>2</v>
      </c>
      <c r="AL317" s="4">
        <v>1</v>
      </c>
      <c r="AM317" s="4">
        <v>1</v>
      </c>
      <c r="AN317" s="4">
        <v>0</v>
      </c>
      <c r="AO317" s="4">
        <v>0</v>
      </c>
      <c r="AP317" s="3" t="s">
        <v>58</v>
      </c>
      <c r="AQ317" s="3" t="s">
        <v>115</v>
      </c>
      <c r="AR317" s="6" t="str">
        <f>HYPERLINK("http://catalog.hathitrust.org/Record/004141319","HathiTrust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HYPERLINK("https://creighton-primo.hosted.exlibrisgroup.com/primo-explore/search?tab=default_tab&amp;search_scope=EVERYTHING&amp;vid=01CRU&amp;lang=en_US&amp;offset=0&amp;query=any,contains,991000307669702656","Catalog Record")</f>
        <v>Catalog Record</v>
      </c>
      <c r="AT317" s="6" t="str">
        <f>HYPERLINK("http://www.worldcat.org/oclc/45076423","WorldCat Record")</f>
        <v>WorldCat Record</v>
      </c>
    </row>
    <row r="318" spans="1:46" ht="40.5" customHeight="1" x14ac:dyDescent="0.25">
      <c r="A318" s="8" t="s">
        <v>58</v>
      </c>
      <c r="B318" s="2" t="s">
        <v>2743</v>
      </c>
      <c r="C318" s="2" t="s">
        <v>2744</v>
      </c>
      <c r="D318" s="2" t="s">
        <v>2745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2746</v>
      </c>
      <c r="L318" s="2" t="s">
        <v>2747</v>
      </c>
      <c r="M318" s="3" t="s">
        <v>1122</v>
      </c>
      <c r="N318" s="2" t="s">
        <v>2748</v>
      </c>
      <c r="O318" s="3" t="s">
        <v>64</v>
      </c>
      <c r="P318" s="3" t="s">
        <v>96</v>
      </c>
      <c r="R318" s="3" t="s">
        <v>1346</v>
      </c>
      <c r="S318" s="4">
        <v>6</v>
      </c>
      <c r="T318" s="4">
        <v>6</v>
      </c>
      <c r="U318" s="5" t="s">
        <v>2749</v>
      </c>
      <c r="V318" s="5" t="s">
        <v>2749</v>
      </c>
      <c r="W318" s="5" t="s">
        <v>2750</v>
      </c>
      <c r="X318" s="5" t="s">
        <v>2750</v>
      </c>
      <c r="Y318" s="4">
        <v>230</v>
      </c>
      <c r="Z318" s="4">
        <v>194</v>
      </c>
      <c r="AA318" s="4">
        <v>207</v>
      </c>
      <c r="AB318" s="4">
        <v>3</v>
      </c>
      <c r="AC318" s="4">
        <v>3</v>
      </c>
      <c r="AD318" s="4">
        <v>7</v>
      </c>
      <c r="AE318" s="4">
        <v>7</v>
      </c>
      <c r="AF318" s="4">
        <v>1</v>
      </c>
      <c r="AG318" s="4">
        <v>1</v>
      </c>
      <c r="AH318" s="4">
        <v>3</v>
      </c>
      <c r="AI318" s="4">
        <v>3</v>
      </c>
      <c r="AJ318" s="4">
        <v>3</v>
      </c>
      <c r="AK318" s="4">
        <v>3</v>
      </c>
      <c r="AL318" s="4">
        <v>2</v>
      </c>
      <c r="AM318" s="4">
        <v>2</v>
      </c>
      <c r="AN318" s="4">
        <v>0</v>
      </c>
      <c r="AO318" s="4">
        <v>0</v>
      </c>
      <c r="AP318" s="3" t="s">
        <v>58</v>
      </c>
      <c r="AQ318" s="3" t="s">
        <v>115</v>
      </c>
      <c r="AR318" s="6" t="str">
        <f>HYPERLINK("http://catalog.hathitrust.org/Record/001948493","HathiTrust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HYPERLINK("https://creighton-primo.hosted.exlibrisgroup.com/primo-explore/search?tab=default_tab&amp;search_scope=EVERYTHING&amp;vid=01CRU&amp;lang=en_US&amp;offset=0&amp;query=any,contains,991001024329702656","Catalog Record")</f>
        <v>Catalog Record</v>
      </c>
      <c r="AT318" s="6" t="str">
        <f>HYPERLINK("http://www.worldcat.org/oclc/20490694","WorldCat Record")</f>
        <v>WorldCat Record</v>
      </c>
    </row>
    <row r="319" spans="1:46" ht="40.5" customHeight="1" x14ac:dyDescent="0.25">
      <c r="A319" s="8" t="s">
        <v>58</v>
      </c>
      <c r="B319" s="2" t="s">
        <v>2751</v>
      </c>
      <c r="C319" s="2" t="s">
        <v>2752</v>
      </c>
      <c r="D319" s="2" t="s">
        <v>2753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2754</v>
      </c>
      <c r="L319" s="2" t="s">
        <v>1163</v>
      </c>
      <c r="M319" s="3" t="s">
        <v>173</v>
      </c>
      <c r="N319" s="2" t="s">
        <v>1354</v>
      </c>
      <c r="O319" s="3" t="s">
        <v>64</v>
      </c>
      <c r="P319" s="3" t="s">
        <v>2755</v>
      </c>
      <c r="Q319" s="2" t="s">
        <v>2756</v>
      </c>
      <c r="R319" s="3" t="s">
        <v>1346</v>
      </c>
      <c r="S319" s="4">
        <v>8</v>
      </c>
      <c r="T319" s="4">
        <v>8</v>
      </c>
      <c r="U319" s="5" t="s">
        <v>2757</v>
      </c>
      <c r="V319" s="5" t="s">
        <v>2757</v>
      </c>
      <c r="W319" s="5" t="s">
        <v>2758</v>
      </c>
      <c r="X319" s="5" t="s">
        <v>2758</v>
      </c>
      <c r="Y319" s="4">
        <v>93</v>
      </c>
      <c r="Z319" s="4">
        <v>43</v>
      </c>
      <c r="AA319" s="4">
        <v>45</v>
      </c>
      <c r="AB319" s="4">
        <v>2</v>
      </c>
      <c r="AC319" s="4">
        <v>2</v>
      </c>
      <c r="AD319" s="4">
        <v>3</v>
      </c>
      <c r="AE319" s="4">
        <v>3</v>
      </c>
      <c r="AF319" s="4">
        <v>0</v>
      </c>
      <c r="AG319" s="4">
        <v>0</v>
      </c>
      <c r="AH319" s="4">
        <v>1</v>
      </c>
      <c r="AI319" s="4">
        <v>1</v>
      </c>
      <c r="AJ319" s="4">
        <v>2</v>
      </c>
      <c r="AK319" s="4">
        <v>2</v>
      </c>
      <c r="AL319" s="4">
        <v>1</v>
      </c>
      <c r="AM319" s="4">
        <v>1</v>
      </c>
      <c r="AN319" s="4">
        <v>0</v>
      </c>
      <c r="AO319" s="4">
        <v>0</v>
      </c>
      <c r="AP319" s="3" t="s">
        <v>58</v>
      </c>
      <c r="AQ319" s="3" t="s">
        <v>115</v>
      </c>
      <c r="AR319" s="6" t="str">
        <f>HYPERLINK("http://catalog.hathitrust.org/Record/002981935","HathiTrust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HYPERLINK("https://creighton-primo.hosted.exlibrisgroup.com/primo-explore/search?tab=default_tab&amp;search_scope=EVERYTHING&amp;vid=01CRU&amp;lang=en_US&amp;offset=0&amp;query=any,contains,991001271289702656","Catalog Record")</f>
        <v>Catalog Record</v>
      </c>
      <c r="AT319" s="6" t="str">
        <f>HYPERLINK("http://www.worldcat.org/oclc/30737804","WorldCat Record")</f>
        <v>WorldCat Record</v>
      </c>
    </row>
    <row r="320" spans="1:46" ht="40.5" customHeight="1" x14ac:dyDescent="0.25">
      <c r="A320" s="8" t="s">
        <v>58</v>
      </c>
      <c r="B320" s="2" t="s">
        <v>2759</v>
      </c>
      <c r="C320" s="2" t="s">
        <v>2760</v>
      </c>
      <c r="D320" s="2" t="s">
        <v>2761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K320" s="2" t="s">
        <v>2754</v>
      </c>
      <c r="L320" s="2" t="s">
        <v>2762</v>
      </c>
      <c r="M320" s="3" t="s">
        <v>408</v>
      </c>
      <c r="N320" s="2" t="s">
        <v>221</v>
      </c>
      <c r="O320" s="3" t="s">
        <v>64</v>
      </c>
      <c r="P320" s="3" t="s">
        <v>2755</v>
      </c>
      <c r="Q320" s="2" t="s">
        <v>2763</v>
      </c>
      <c r="R320" s="3" t="s">
        <v>1346</v>
      </c>
      <c r="S320" s="4">
        <v>9</v>
      </c>
      <c r="T320" s="4">
        <v>9</v>
      </c>
      <c r="U320" s="5" t="s">
        <v>2764</v>
      </c>
      <c r="V320" s="5" t="s">
        <v>2764</v>
      </c>
      <c r="W320" s="5" t="s">
        <v>2512</v>
      </c>
      <c r="X320" s="5" t="s">
        <v>2512</v>
      </c>
      <c r="Y320" s="4">
        <v>89</v>
      </c>
      <c r="Z320" s="4">
        <v>41</v>
      </c>
      <c r="AA320" s="4">
        <v>90</v>
      </c>
      <c r="AB320" s="4">
        <v>2</v>
      </c>
      <c r="AC320" s="4">
        <v>2</v>
      </c>
      <c r="AD320" s="4">
        <v>3</v>
      </c>
      <c r="AE320" s="4">
        <v>4</v>
      </c>
      <c r="AF320" s="4">
        <v>0</v>
      </c>
      <c r="AG320" s="4">
        <v>0</v>
      </c>
      <c r="AH320" s="4">
        <v>1</v>
      </c>
      <c r="AI320" s="4">
        <v>2</v>
      </c>
      <c r="AJ320" s="4">
        <v>1</v>
      </c>
      <c r="AK320" s="4">
        <v>2</v>
      </c>
      <c r="AL320" s="4">
        <v>1</v>
      </c>
      <c r="AM320" s="4">
        <v>1</v>
      </c>
      <c r="AN320" s="4">
        <v>0</v>
      </c>
      <c r="AO320" s="4">
        <v>0</v>
      </c>
      <c r="AP320" s="3" t="s">
        <v>58</v>
      </c>
      <c r="AQ320" s="3" t="s">
        <v>115</v>
      </c>
      <c r="AR320" s="6" t="str">
        <f>HYPERLINK("http://catalog.hathitrust.org/Record/000421018","HathiTrust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HYPERLINK("https://creighton-primo.hosted.exlibrisgroup.com/primo-explore/search?tab=default_tab&amp;search_scope=EVERYTHING&amp;vid=01CRU&amp;lang=en_US&amp;offset=0&amp;query=any,contains,991000953209702656","Catalog Record")</f>
        <v>Catalog Record</v>
      </c>
      <c r="AT320" s="6" t="str">
        <f>HYPERLINK("http://www.worldcat.org/oclc/10878372","WorldCat Record")</f>
        <v>WorldCat Record</v>
      </c>
    </row>
    <row r="321" spans="1:46" ht="40.5" customHeight="1" x14ac:dyDescent="0.25">
      <c r="A321" s="8" t="s">
        <v>58</v>
      </c>
      <c r="B321" s="2" t="s">
        <v>2765</v>
      </c>
      <c r="C321" s="2" t="s">
        <v>2766</v>
      </c>
      <c r="D321" s="2" t="s">
        <v>2767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2768</v>
      </c>
      <c r="L321" s="2" t="s">
        <v>2769</v>
      </c>
      <c r="M321" s="3" t="s">
        <v>1899</v>
      </c>
      <c r="O321" s="3" t="s">
        <v>64</v>
      </c>
      <c r="P321" s="3" t="s">
        <v>2394</v>
      </c>
      <c r="Q321" s="2" t="s">
        <v>2770</v>
      </c>
      <c r="R321" s="3" t="s">
        <v>1346</v>
      </c>
      <c r="S321" s="4">
        <v>0</v>
      </c>
      <c r="T321" s="4">
        <v>0</v>
      </c>
      <c r="U321" s="5" t="s">
        <v>2771</v>
      </c>
      <c r="V321" s="5" t="s">
        <v>2771</v>
      </c>
      <c r="W321" s="5" t="s">
        <v>2772</v>
      </c>
      <c r="X321" s="5" t="s">
        <v>2772</v>
      </c>
      <c r="Y321" s="4">
        <v>43</v>
      </c>
      <c r="Z321" s="4">
        <v>25</v>
      </c>
      <c r="AA321" s="4">
        <v>38</v>
      </c>
      <c r="AB321" s="4">
        <v>1</v>
      </c>
      <c r="AC321" s="4">
        <v>1</v>
      </c>
      <c r="AD321" s="4">
        <v>2</v>
      </c>
      <c r="AE321" s="4">
        <v>4</v>
      </c>
      <c r="AF321" s="4">
        <v>0</v>
      </c>
      <c r="AG321" s="4">
        <v>0</v>
      </c>
      <c r="AH321" s="4">
        <v>1</v>
      </c>
      <c r="AI321" s="4">
        <v>3</v>
      </c>
      <c r="AJ321" s="4">
        <v>2</v>
      </c>
      <c r="AK321" s="4">
        <v>2</v>
      </c>
      <c r="AL321" s="4">
        <v>0</v>
      </c>
      <c r="AM321" s="4">
        <v>0</v>
      </c>
      <c r="AN321" s="4">
        <v>0</v>
      </c>
      <c r="AO321" s="4">
        <v>0</v>
      </c>
      <c r="AP321" s="3" t="s">
        <v>58</v>
      </c>
      <c r="AQ321" s="3" t="s">
        <v>58</v>
      </c>
      <c r="AS321" s="6" t="str">
        <f>HYPERLINK("https://creighton-primo.hosted.exlibrisgroup.com/primo-explore/search?tab=default_tab&amp;search_scope=EVERYTHING&amp;vid=01CRU&amp;lang=en_US&amp;offset=0&amp;query=any,contains,991000916349702656","Catalog Record")</f>
        <v>Catalog Record</v>
      </c>
      <c r="AT321" s="6" t="str">
        <f>HYPERLINK("http://www.worldcat.org/oclc/244814875","WorldCat Record")</f>
        <v>WorldCat Record</v>
      </c>
    </row>
    <row r="322" spans="1:46" ht="40.5" customHeight="1" x14ac:dyDescent="0.25">
      <c r="A322" s="8" t="s">
        <v>58</v>
      </c>
      <c r="B322" s="2" t="s">
        <v>2773</v>
      </c>
      <c r="C322" s="2" t="s">
        <v>2774</v>
      </c>
      <c r="D322" s="2" t="s">
        <v>2775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2776</v>
      </c>
      <c r="L322" s="2" t="s">
        <v>2777</v>
      </c>
      <c r="M322" s="3" t="s">
        <v>1414</v>
      </c>
      <c r="N322" s="2" t="s">
        <v>143</v>
      </c>
      <c r="O322" s="3" t="s">
        <v>64</v>
      </c>
      <c r="P322" s="3" t="s">
        <v>265</v>
      </c>
      <c r="R322" s="3" t="s">
        <v>1346</v>
      </c>
      <c r="S322" s="4">
        <v>21</v>
      </c>
      <c r="T322" s="4">
        <v>21</v>
      </c>
      <c r="U322" s="5" t="s">
        <v>2778</v>
      </c>
      <c r="V322" s="5" t="s">
        <v>2778</v>
      </c>
      <c r="W322" s="5" t="s">
        <v>2335</v>
      </c>
      <c r="X322" s="5" t="s">
        <v>2335</v>
      </c>
      <c r="Y322" s="4">
        <v>81</v>
      </c>
      <c r="Z322" s="4">
        <v>52</v>
      </c>
      <c r="AA322" s="4">
        <v>108</v>
      </c>
      <c r="AB322" s="4">
        <v>1</v>
      </c>
      <c r="AC322" s="4">
        <v>2</v>
      </c>
      <c r="AD322" s="4">
        <v>1</v>
      </c>
      <c r="AE322" s="4">
        <v>3</v>
      </c>
      <c r="AF322" s="4">
        <v>0</v>
      </c>
      <c r="AG322" s="4">
        <v>0</v>
      </c>
      <c r="AH322" s="4">
        <v>0</v>
      </c>
      <c r="AI322" s="4">
        <v>1</v>
      </c>
      <c r="AJ322" s="4">
        <v>1</v>
      </c>
      <c r="AK322" s="4">
        <v>2</v>
      </c>
      <c r="AL322" s="4">
        <v>0</v>
      </c>
      <c r="AM322" s="4">
        <v>1</v>
      </c>
      <c r="AN322" s="4">
        <v>0</v>
      </c>
      <c r="AO322" s="4">
        <v>0</v>
      </c>
      <c r="AP322" s="3" t="s">
        <v>58</v>
      </c>
      <c r="AQ322" s="3" t="s">
        <v>115</v>
      </c>
      <c r="AR322" s="6" t="str">
        <f>HYPERLINK("http://catalog.hathitrust.org/Record/000332966","HathiTrust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HYPERLINK("https://creighton-primo.hosted.exlibrisgroup.com/primo-explore/search?tab=default_tab&amp;search_scope=EVERYTHING&amp;vid=01CRU&amp;lang=en_US&amp;offset=0&amp;query=any,contains,991000953249702656","Catalog Record")</f>
        <v>Catalog Record</v>
      </c>
      <c r="AT322" s="6" t="str">
        <f>HYPERLINK("http://www.worldcat.org/oclc/10752640","WorldCat Record")</f>
        <v>WorldCat Record</v>
      </c>
    </row>
    <row r="323" spans="1:46" ht="40.5" customHeight="1" x14ac:dyDescent="0.25">
      <c r="A323" s="8" t="s">
        <v>58</v>
      </c>
      <c r="B323" s="2" t="s">
        <v>2779</v>
      </c>
      <c r="C323" s="2" t="s">
        <v>2780</v>
      </c>
      <c r="D323" s="2" t="s">
        <v>2781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L323" s="2" t="s">
        <v>1449</v>
      </c>
      <c r="M323" s="3" t="s">
        <v>290</v>
      </c>
      <c r="N323" s="2" t="s">
        <v>221</v>
      </c>
      <c r="O323" s="3" t="s">
        <v>64</v>
      </c>
      <c r="P323" s="3" t="s">
        <v>1355</v>
      </c>
      <c r="R323" s="3" t="s">
        <v>1346</v>
      </c>
      <c r="S323" s="4">
        <v>9</v>
      </c>
      <c r="T323" s="4">
        <v>9</v>
      </c>
      <c r="U323" s="5" t="s">
        <v>2782</v>
      </c>
      <c r="V323" s="5" t="s">
        <v>2782</v>
      </c>
      <c r="W323" s="5" t="s">
        <v>2783</v>
      </c>
      <c r="X323" s="5" t="s">
        <v>2783</v>
      </c>
      <c r="Y323" s="4">
        <v>136</v>
      </c>
      <c r="Z323" s="4">
        <v>89</v>
      </c>
      <c r="AA323" s="4">
        <v>165</v>
      </c>
      <c r="AB323" s="4">
        <v>2</v>
      </c>
      <c r="AC323" s="4">
        <v>2</v>
      </c>
      <c r="AD323" s="4">
        <v>4</v>
      </c>
      <c r="AE323" s="4">
        <v>4</v>
      </c>
      <c r="AF323" s="4">
        <v>0</v>
      </c>
      <c r="AG323" s="4">
        <v>0</v>
      </c>
      <c r="AH323" s="4">
        <v>2</v>
      </c>
      <c r="AI323" s="4">
        <v>2</v>
      </c>
      <c r="AJ323" s="4">
        <v>2</v>
      </c>
      <c r="AK323" s="4">
        <v>2</v>
      </c>
      <c r="AL323" s="4">
        <v>1</v>
      </c>
      <c r="AM323" s="4">
        <v>1</v>
      </c>
      <c r="AN323" s="4">
        <v>0</v>
      </c>
      <c r="AO323" s="4">
        <v>0</v>
      </c>
      <c r="AP323" s="3" t="s">
        <v>58</v>
      </c>
      <c r="AQ323" s="3" t="s">
        <v>115</v>
      </c>
      <c r="AR323" s="6" t="str">
        <f>HYPERLINK("http://catalog.hathitrust.org/Record/000885238","HathiTrust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HYPERLINK("https://creighton-primo.hosted.exlibrisgroup.com/primo-explore/search?tab=default_tab&amp;search_scope=EVERYTHING&amp;vid=01CRU&amp;lang=en_US&amp;offset=0&amp;query=any,contains,991001539859702656","Catalog Record")</f>
        <v>Catalog Record</v>
      </c>
      <c r="AT323" s="6" t="str">
        <f>HYPERLINK("http://www.worldcat.org/oclc/16227161","WorldCat Record")</f>
        <v>WorldCat Record</v>
      </c>
    </row>
    <row r="324" spans="1:46" ht="40.5" customHeight="1" x14ac:dyDescent="0.25">
      <c r="A324" s="8" t="s">
        <v>58</v>
      </c>
      <c r="B324" s="2" t="s">
        <v>2784</v>
      </c>
      <c r="C324" s="2" t="s">
        <v>2785</v>
      </c>
      <c r="D324" s="2" t="s">
        <v>2786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L324" s="2" t="s">
        <v>2787</v>
      </c>
      <c r="M324" s="3" t="s">
        <v>306</v>
      </c>
      <c r="O324" s="3" t="s">
        <v>64</v>
      </c>
      <c r="P324" s="3" t="s">
        <v>96</v>
      </c>
      <c r="Q324" s="2" t="s">
        <v>2788</v>
      </c>
      <c r="R324" s="3" t="s">
        <v>1346</v>
      </c>
      <c r="S324" s="4">
        <v>3</v>
      </c>
      <c r="T324" s="4">
        <v>3</v>
      </c>
      <c r="U324" s="5" t="s">
        <v>2789</v>
      </c>
      <c r="V324" s="5" t="s">
        <v>2789</v>
      </c>
      <c r="W324" s="5" t="s">
        <v>2790</v>
      </c>
      <c r="X324" s="5" t="s">
        <v>2790</v>
      </c>
      <c r="Y324" s="4">
        <v>155</v>
      </c>
      <c r="Z324" s="4">
        <v>82</v>
      </c>
      <c r="AA324" s="4">
        <v>154</v>
      </c>
      <c r="AB324" s="4">
        <v>2</v>
      </c>
      <c r="AC324" s="4">
        <v>4</v>
      </c>
      <c r="AD324" s="4">
        <v>2</v>
      </c>
      <c r="AE324" s="4">
        <v>6</v>
      </c>
      <c r="AF324" s="4">
        <v>1</v>
      </c>
      <c r="AG324" s="4">
        <v>2</v>
      </c>
      <c r="AH324" s="4">
        <v>0</v>
      </c>
      <c r="AI324" s="4">
        <v>1</v>
      </c>
      <c r="AJ324" s="4">
        <v>1</v>
      </c>
      <c r="AK324" s="4">
        <v>2</v>
      </c>
      <c r="AL324" s="4">
        <v>1</v>
      </c>
      <c r="AM324" s="4">
        <v>3</v>
      </c>
      <c r="AN324" s="4">
        <v>0</v>
      </c>
      <c r="AO324" s="4">
        <v>0</v>
      </c>
      <c r="AP324" s="3" t="s">
        <v>58</v>
      </c>
      <c r="AQ324" s="3" t="s">
        <v>115</v>
      </c>
      <c r="AR324" s="6" t="str">
        <f>HYPERLINK("http://catalog.hathitrust.org/Record/003104172","HathiTrust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HYPERLINK("https://creighton-primo.hosted.exlibrisgroup.com/primo-explore/search?tab=default_tab&amp;search_scope=EVERYTHING&amp;vid=01CRU&amp;lang=en_US&amp;offset=0&amp;query=any,contains,991001558899702656","Catalog Record")</f>
        <v>Catalog Record</v>
      </c>
      <c r="AT324" s="6" t="str">
        <f>HYPERLINK("http://www.worldcat.org/oclc/34724611","WorldCat Record")</f>
        <v>WorldCat Record</v>
      </c>
    </row>
    <row r="325" spans="1:46" ht="40.5" customHeight="1" x14ac:dyDescent="0.25">
      <c r="A325" s="8" t="s">
        <v>58</v>
      </c>
      <c r="B325" s="2" t="s">
        <v>2791</v>
      </c>
      <c r="C325" s="2" t="s">
        <v>2792</v>
      </c>
      <c r="D325" s="2" t="s">
        <v>2793</v>
      </c>
      <c r="F325" s="3" t="s">
        <v>58</v>
      </c>
      <c r="G325" s="3" t="s">
        <v>59</v>
      </c>
      <c r="H325" s="3" t="s">
        <v>58</v>
      </c>
      <c r="I325" s="3" t="s">
        <v>115</v>
      </c>
      <c r="J325" s="3" t="s">
        <v>59</v>
      </c>
      <c r="K325" s="2" t="s">
        <v>2794</v>
      </c>
      <c r="L325" s="2" t="s">
        <v>1605</v>
      </c>
      <c r="M325" s="3" t="s">
        <v>408</v>
      </c>
      <c r="N325" s="2" t="s">
        <v>143</v>
      </c>
      <c r="O325" s="3" t="s">
        <v>64</v>
      </c>
      <c r="P325" s="3" t="s">
        <v>265</v>
      </c>
      <c r="R325" s="3" t="s">
        <v>1346</v>
      </c>
      <c r="S325" s="4">
        <v>94</v>
      </c>
      <c r="T325" s="4">
        <v>94</v>
      </c>
      <c r="U325" s="5" t="s">
        <v>2795</v>
      </c>
      <c r="V325" s="5" t="s">
        <v>2795</v>
      </c>
      <c r="W325" s="5" t="s">
        <v>1436</v>
      </c>
      <c r="X325" s="5" t="s">
        <v>1436</v>
      </c>
      <c r="Y325" s="4">
        <v>102</v>
      </c>
      <c r="Z325" s="4">
        <v>67</v>
      </c>
      <c r="AA325" s="4">
        <v>302</v>
      </c>
      <c r="AB325" s="4">
        <v>2</v>
      </c>
      <c r="AC325" s="4">
        <v>4</v>
      </c>
      <c r="AD325" s="4">
        <v>2</v>
      </c>
      <c r="AE325" s="4">
        <v>10</v>
      </c>
      <c r="AF325" s="4">
        <v>0</v>
      </c>
      <c r="AG325" s="4">
        <v>1</v>
      </c>
      <c r="AH325" s="4">
        <v>0</v>
      </c>
      <c r="AI325" s="4">
        <v>4</v>
      </c>
      <c r="AJ325" s="4">
        <v>1</v>
      </c>
      <c r="AK325" s="4">
        <v>3</v>
      </c>
      <c r="AL325" s="4">
        <v>1</v>
      </c>
      <c r="AM325" s="4">
        <v>3</v>
      </c>
      <c r="AN325" s="4">
        <v>0</v>
      </c>
      <c r="AO325" s="4">
        <v>0</v>
      </c>
      <c r="AP325" s="3" t="s">
        <v>58</v>
      </c>
      <c r="AQ325" s="3" t="s">
        <v>115</v>
      </c>
      <c r="AR325" s="6" t="str">
        <f>HYPERLINK("http://catalog.hathitrust.org/Record/000605453","HathiTrust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HYPERLINK("https://creighton-primo.hosted.exlibrisgroup.com/primo-explore/search?tab=default_tab&amp;search_scope=EVERYTHING&amp;vid=01CRU&amp;lang=en_US&amp;offset=0&amp;query=any,contains,991000747759702656","Catalog Record")</f>
        <v>Catalog Record</v>
      </c>
      <c r="AT325" s="6" t="str">
        <f>HYPERLINK("http://www.worldcat.org/oclc/10711747","WorldCat Record")</f>
        <v>WorldCat Record</v>
      </c>
    </row>
    <row r="326" spans="1:46" ht="40.5" customHeight="1" x14ac:dyDescent="0.25">
      <c r="A326" s="8" t="s">
        <v>58</v>
      </c>
      <c r="B326" s="2" t="s">
        <v>2796</v>
      </c>
      <c r="C326" s="2" t="s">
        <v>2797</v>
      </c>
      <c r="D326" s="2" t="s">
        <v>2798</v>
      </c>
      <c r="F326" s="3" t="s">
        <v>58</v>
      </c>
      <c r="G326" s="3" t="s">
        <v>59</v>
      </c>
      <c r="H326" s="3" t="s">
        <v>58</v>
      </c>
      <c r="I326" s="3" t="s">
        <v>115</v>
      </c>
      <c r="J326" s="3" t="s">
        <v>59</v>
      </c>
      <c r="K326" s="2" t="s">
        <v>2794</v>
      </c>
      <c r="L326" s="2" t="s">
        <v>1796</v>
      </c>
      <c r="M326" s="3" t="s">
        <v>1511</v>
      </c>
      <c r="N326" s="2" t="s">
        <v>936</v>
      </c>
      <c r="O326" s="3" t="s">
        <v>64</v>
      </c>
      <c r="P326" s="3" t="s">
        <v>1355</v>
      </c>
      <c r="R326" s="3" t="s">
        <v>1346</v>
      </c>
      <c r="S326" s="4">
        <v>93</v>
      </c>
      <c r="T326" s="4">
        <v>93</v>
      </c>
      <c r="U326" s="5" t="s">
        <v>2799</v>
      </c>
      <c r="V326" s="5" t="s">
        <v>2799</v>
      </c>
      <c r="W326" s="5" t="s">
        <v>1995</v>
      </c>
      <c r="X326" s="5" t="s">
        <v>1995</v>
      </c>
      <c r="Y326" s="4">
        <v>102</v>
      </c>
      <c r="Z326" s="4">
        <v>66</v>
      </c>
      <c r="AA326" s="4">
        <v>302</v>
      </c>
      <c r="AB326" s="4">
        <v>1</v>
      </c>
      <c r="AC326" s="4">
        <v>4</v>
      </c>
      <c r="AD326" s="4">
        <v>2</v>
      </c>
      <c r="AE326" s="4">
        <v>10</v>
      </c>
      <c r="AF326" s="4">
        <v>0</v>
      </c>
      <c r="AG326" s="4">
        <v>1</v>
      </c>
      <c r="AH326" s="4">
        <v>1</v>
      </c>
      <c r="AI326" s="4">
        <v>4</v>
      </c>
      <c r="AJ326" s="4">
        <v>1</v>
      </c>
      <c r="AK326" s="4">
        <v>3</v>
      </c>
      <c r="AL326" s="4">
        <v>0</v>
      </c>
      <c r="AM326" s="4">
        <v>3</v>
      </c>
      <c r="AN326" s="4">
        <v>0</v>
      </c>
      <c r="AO326" s="4">
        <v>0</v>
      </c>
      <c r="AP326" s="3" t="s">
        <v>58</v>
      </c>
      <c r="AQ326" s="3" t="s">
        <v>115</v>
      </c>
      <c r="AR326" s="6" t="str">
        <f>HYPERLINK("http://catalog.hathitrust.org/Record/001528424","HathiTrust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HYPERLINK("https://creighton-primo.hosted.exlibrisgroup.com/primo-explore/search?tab=default_tab&amp;search_scope=EVERYTHING&amp;vid=01CRU&amp;lang=en_US&amp;offset=0&amp;query=any,contains,991001312459702656","Catalog Record")</f>
        <v>Catalog Record</v>
      </c>
      <c r="AT326" s="6" t="str">
        <f>HYPERLINK("http://www.worldcat.org/oclc/18558213","WorldCat Record")</f>
        <v>WorldCat Record</v>
      </c>
    </row>
    <row r="327" spans="1:46" ht="40.5" customHeight="1" x14ac:dyDescent="0.25">
      <c r="A327" s="8" t="s">
        <v>58</v>
      </c>
      <c r="B327" s="2" t="s">
        <v>2800</v>
      </c>
      <c r="C327" s="2" t="s">
        <v>2801</v>
      </c>
      <c r="D327" s="2" t="s">
        <v>2802</v>
      </c>
      <c r="F327" s="3" t="s">
        <v>58</v>
      </c>
      <c r="G327" s="3" t="s">
        <v>59</v>
      </c>
      <c r="H327" s="3" t="s">
        <v>58</v>
      </c>
      <c r="I327" s="3" t="s">
        <v>115</v>
      </c>
      <c r="J327" s="3" t="s">
        <v>59</v>
      </c>
      <c r="L327" s="2" t="s">
        <v>1475</v>
      </c>
      <c r="M327" s="3" t="s">
        <v>892</v>
      </c>
      <c r="N327" s="2" t="s">
        <v>221</v>
      </c>
      <c r="O327" s="3" t="s">
        <v>64</v>
      </c>
      <c r="P327" s="3" t="s">
        <v>1406</v>
      </c>
      <c r="R327" s="3" t="s">
        <v>1346</v>
      </c>
      <c r="S327" s="4">
        <v>110</v>
      </c>
      <c r="T327" s="4">
        <v>110</v>
      </c>
      <c r="U327" s="5" t="s">
        <v>2803</v>
      </c>
      <c r="V327" s="5" t="s">
        <v>2803</v>
      </c>
      <c r="W327" s="5" t="s">
        <v>2010</v>
      </c>
      <c r="X327" s="5" t="s">
        <v>2010</v>
      </c>
      <c r="Y327" s="4">
        <v>128</v>
      </c>
      <c r="Z327" s="4">
        <v>82</v>
      </c>
      <c r="AA327" s="4">
        <v>302</v>
      </c>
      <c r="AB327" s="4">
        <v>1</v>
      </c>
      <c r="AC327" s="4">
        <v>4</v>
      </c>
      <c r="AD327" s="4">
        <v>2</v>
      </c>
      <c r="AE327" s="4">
        <v>10</v>
      </c>
      <c r="AF327" s="4">
        <v>0</v>
      </c>
      <c r="AG327" s="4">
        <v>1</v>
      </c>
      <c r="AH327" s="4">
        <v>1</v>
      </c>
      <c r="AI327" s="4">
        <v>4</v>
      </c>
      <c r="AJ327" s="4">
        <v>1</v>
      </c>
      <c r="AK327" s="4">
        <v>3</v>
      </c>
      <c r="AL327" s="4">
        <v>0</v>
      </c>
      <c r="AM327" s="4">
        <v>3</v>
      </c>
      <c r="AN327" s="4">
        <v>0</v>
      </c>
      <c r="AO327" s="4">
        <v>0</v>
      </c>
      <c r="AP327" s="3" t="s">
        <v>58</v>
      </c>
      <c r="AQ327" s="3" t="s">
        <v>115</v>
      </c>
      <c r="AR327" s="6" t="str">
        <f>HYPERLINK("http://catalog.hathitrust.org/Record/003242482","HathiTrust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HYPERLINK("https://creighton-primo.hosted.exlibrisgroup.com/primo-explore/search?tab=default_tab&amp;search_scope=EVERYTHING&amp;vid=01CRU&amp;lang=en_US&amp;offset=0&amp;query=any,contains,991001293969702656","Catalog Record")</f>
        <v>Catalog Record</v>
      </c>
      <c r="AT327" s="6" t="str">
        <f>HYPERLINK("http://www.worldcat.org/oclc/41017283","WorldCat Record")</f>
        <v>WorldCat Record</v>
      </c>
    </row>
    <row r="328" spans="1:46" ht="40.5" customHeight="1" x14ac:dyDescent="0.25">
      <c r="A328" s="8" t="s">
        <v>58</v>
      </c>
      <c r="B328" s="2" t="s">
        <v>2804</v>
      </c>
      <c r="C328" s="2" t="s">
        <v>2805</v>
      </c>
      <c r="D328" s="2" t="s">
        <v>2806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K328" s="2" t="s">
        <v>2807</v>
      </c>
      <c r="L328" s="2" t="s">
        <v>2808</v>
      </c>
      <c r="M328" s="3" t="s">
        <v>142</v>
      </c>
      <c r="O328" s="3" t="s">
        <v>64</v>
      </c>
      <c r="P328" s="3" t="s">
        <v>2809</v>
      </c>
      <c r="R328" s="3" t="s">
        <v>1346</v>
      </c>
      <c r="S328" s="4">
        <v>2</v>
      </c>
      <c r="T328" s="4">
        <v>2</v>
      </c>
      <c r="U328" s="5" t="s">
        <v>2810</v>
      </c>
      <c r="V328" s="5" t="s">
        <v>2810</v>
      </c>
      <c r="W328" s="5" t="s">
        <v>2810</v>
      </c>
      <c r="X328" s="5" t="s">
        <v>2810</v>
      </c>
      <c r="Y328" s="4">
        <v>14</v>
      </c>
      <c r="Z328" s="4">
        <v>12</v>
      </c>
      <c r="AA328" s="4">
        <v>14</v>
      </c>
      <c r="AB328" s="4">
        <v>1</v>
      </c>
      <c r="AC328" s="4">
        <v>1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3" t="s">
        <v>58</v>
      </c>
      <c r="AQ328" s="3" t="s">
        <v>115</v>
      </c>
      <c r="AR328" s="6" t="str">
        <f>HYPERLINK("http://catalog.hathitrust.org/Record/003947834","HathiTrust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HYPERLINK("https://creighton-primo.hosted.exlibrisgroup.com/primo-explore/search?tab=default_tab&amp;search_scope=EVERYTHING&amp;vid=01CRU&amp;lang=en_US&amp;offset=0&amp;query=any,contains,991000942599702656","Catalog Record")</f>
        <v>Catalog Record</v>
      </c>
      <c r="AT328" s="6" t="str">
        <f>HYPERLINK("http://www.worldcat.org/oclc/24041830","WorldCat Record")</f>
        <v>WorldCat Record</v>
      </c>
    </row>
    <row r="329" spans="1:46" ht="40.5" customHeight="1" x14ac:dyDescent="0.25">
      <c r="A329" s="8" t="s">
        <v>58</v>
      </c>
      <c r="B329" s="2" t="s">
        <v>2811</v>
      </c>
      <c r="C329" s="2" t="s">
        <v>2812</v>
      </c>
      <c r="D329" s="2" t="s">
        <v>2813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K329" s="2" t="s">
        <v>2814</v>
      </c>
      <c r="L329" s="2" t="s">
        <v>2815</v>
      </c>
      <c r="M329" s="3" t="s">
        <v>698</v>
      </c>
      <c r="O329" s="3" t="s">
        <v>64</v>
      </c>
      <c r="P329" s="3" t="s">
        <v>144</v>
      </c>
      <c r="R329" s="3" t="s">
        <v>1346</v>
      </c>
      <c r="S329" s="4">
        <v>4</v>
      </c>
      <c r="T329" s="4">
        <v>4</v>
      </c>
      <c r="U329" s="5" t="s">
        <v>2816</v>
      </c>
      <c r="V329" s="5" t="s">
        <v>2816</v>
      </c>
      <c r="W329" s="5" t="s">
        <v>2069</v>
      </c>
      <c r="X329" s="5" t="s">
        <v>2069</v>
      </c>
      <c r="Y329" s="4">
        <v>109</v>
      </c>
      <c r="Z329" s="4">
        <v>69</v>
      </c>
      <c r="AA329" s="4">
        <v>72</v>
      </c>
      <c r="AB329" s="4">
        <v>2</v>
      </c>
      <c r="AC329" s="4">
        <v>2</v>
      </c>
      <c r="AD329" s="4">
        <v>3</v>
      </c>
      <c r="AE329" s="4">
        <v>3</v>
      </c>
      <c r="AF329" s="4">
        <v>0</v>
      </c>
      <c r="AG329" s="4">
        <v>0</v>
      </c>
      <c r="AH329" s="4">
        <v>1</v>
      </c>
      <c r="AI329" s="4">
        <v>1</v>
      </c>
      <c r="AJ329" s="4">
        <v>2</v>
      </c>
      <c r="AK329" s="4">
        <v>2</v>
      </c>
      <c r="AL329" s="4">
        <v>1</v>
      </c>
      <c r="AM329" s="4">
        <v>1</v>
      </c>
      <c r="AN329" s="4">
        <v>0</v>
      </c>
      <c r="AO329" s="4">
        <v>0</v>
      </c>
      <c r="AP329" s="3" t="s">
        <v>58</v>
      </c>
      <c r="AQ329" s="3" t="s">
        <v>115</v>
      </c>
      <c r="AR329" s="6" t="str">
        <f>HYPERLINK("http://catalog.hathitrust.org/Record/001579235","HathiTrust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HYPERLINK("https://creighton-primo.hosted.exlibrisgroup.com/primo-explore/search?tab=default_tab&amp;search_scope=EVERYTHING&amp;vid=01CRU&amp;lang=en_US&amp;offset=0&amp;query=any,contains,991000953329702656","Catalog Record")</f>
        <v>Catalog Record</v>
      </c>
      <c r="AT329" s="6" t="str">
        <f>HYPERLINK("http://www.worldcat.org/oclc/659042","WorldCat Record")</f>
        <v>WorldCat Record</v>
      </c>
    </row>
    <row r="330" spans="1:46" ht="40.5" customHeight="1" x14ac:dyDescent="0.25">
      <c r="A330" s="8" t="s">
        <v>58</v>
      </c>
      <c r="B330" s="2" t="s">
        <v>2817</v>
      </c>
      <c r="C330" s="2" t="s">
        <v>2818</v>
      </c>
      <c r="D330" s="2" t="s">
        <v>2819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2814</v>
      </c>
      <c r="L330" s="2" t="s">
        <v>2820</v>
      </c>
      <c r="M330" s="3" t="s">
        <v>81</v>
      </c>
      <c r="O330" s="3" t="s">
        <v>64</v>
      </c>
      <c r="P330" s="3" t="s">
        <v>144</v>
      </c>
      <c r="R330" s="3" t="s">
        <v>1346</v>
      </c>
      <c r="S330" s="4">
        <v>11</v>
      </c>
      <c r="T330" s="4">
        <v>11</v>
      </c>
      <c r="U330" s="5" t="s">
        <v>2821</v>
      </c>
      <c r="V330" s="5" t="s">
        <v>2821</v>
      </c>
      <c r="W330" s="5" t="s">
        <v>2335</v>
      </c>
      <c r="X330" s="5" t="s">
        <v>2335</v>
      </c>
      <c r="Y330" s="4">
        <v>98</v>
      </c>
      <c r="Z330" s="4">
        <v>58</v>
      </c>
      <c r="AA330" s="4">
        <v>60</v>
      </c>
      <c r="AB330" s="4">
        <v>2</v>
      </c>
      <c r="AC330" s="4">
        <v>2</v>
      </c>
      <c r="AD330" s="4">
        <v>3</v>
      </c>
      <c r="AE330" s="4">
        <v>3</v>
      </c>
      <c r="AF330" s="4">
        <v>0</v>
      </c>
      <c r="AG330" s="4">
        <v>0</v>
      </c>
      <c r="AH330" s="4">
        <v>1</v>
      </c>
      <c r="AI330" s="4">
        <v>1</v>
      </c>
      <c r="AJ330" s="4">
        <v>2</v>
      </c>
      <c r="AK330" s="4">
        <v>2</v>
      </c>
      <c r="AL330" s="4">
        <v>1</v>
      </c>
      <c r="AM330" s="4">
        <v>1</v>
      </c>
      <c r="AN330" s="4">
        <v>0</v>
      </c>
      <c r="AO330" s="4">
        <v>0</v>
      </c>
      <c r="AP330" s="3" t="s">
        <v>58</v>
      </c>
      <c r="AQ330" s="3" t="s">
        <v>115</v>
      </c>
      <c r="AR330" s="6" t="str">
        <f>HYPERLINK("http://catalog.hathitrust.org/Record/000019120","HathiTrust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HYPERLINK("https://creighton-primo.hosted.exlibrisgroup.com/primo-explore/search?tab=default_tab&amp;search_scope=EVERYTHING&amp;vid=01CRU&amp;lang=en_US&amp;offset=0&amp;query=any,contains,991000953349702656","Catalog Record")</f>
        <v>Catalog Record</v>
      </c>
      <c r="AT330" s="6" t="str">
        <f>HYPERLINK("http://www.worldcat.org/oclc/5171251","WorldCat Record")</f>
        <v>WorldCat Record</v>
      </c>
    </row>
    <row r="331" spans="1:46" ht="40.5" customHeight="1" x14ac:dyDescent="0.25">
      <c r="A331" s="8" t="s">
        <v>58</v>
      </c>
      <c r="B331" s="2" t="s">
        <v>2822</v>
      </c>
      <c r="C331" s="2" t="s">
        <v>2823</v>
      </c>
      <c r="D331" s="2" t="s">
        <v>2824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2814</v>
      </c>
      <c r="L331" s="2" t="s">
        <v>2825</v>
      </c>
      <c r="M331" s="3" t="s">
        <v>628</v>
      </c>
      <c r="O331" s="3" t="s">
        <v>64</v>
      </c>
      <c r="P331" s="3" t="s">
        <v>144</v>
      </c>
      <c r="R331" s="3" t="s">
        <v>1346</v>
      </c>
      <c r="S331" s="4">
        <v>12</v>
      </c>
      <c r="T331" s="4">
        <v>12</v>
      </c>
      <c r="U331" s="5" t="s">
        <v>546</v>
      </c>
      <c r="V331" s="5" t="s">
        <v>546</v>
      </c>
      <c r="W331" s="5" t="s">
        <v>2826</v>
      </c>
      <c r="X331" s="5" t="s">
        <v>2826</v>
      </c>
      <c r="Y331" s="4">
        <v>75</v>
      </c>
      <c r="Z331" s="4">
        <v>51</v>
      </c>
      <c r="AA331" s="4">
        <v>54</v>
      </c>
      <c r="AB331" s="4">
        <v>1</v>
      </c>
      <c r="AC331" s="4">
        <v>1</v>
      </c>
      <c r="AD331" s="4">
        <v>1</v>
      </c>
      <c r="AE331" s="4">
        <v>1</v>
      </c>
      <c r="AF331" s="4">
        <v>0</v>
      </c>
      <c r="AG331" s="4">
        <v>0</v>
      </c>
      <c r="AH331" s="4">
        <v>0</v>
      </c>
      <c r="AI331" s="4">
        <v>0</v>
      </c>
      <c r="AJ331" s="4">
        <v>1</v>
      </c>
      <c r="AK331" s="4">
        <v>1</v>
      </c>
      <c r="AL331" s="4">
        <v>0</v>
      </c>
      <c r="AM331" s="4">
        <v>0</v>
      </c>
      <c r="AN331" s="4">
        <v>0</v>
      </c>
      <c r="AO331" s="4">
        <v>0</v>
      </c>
      <c r="AP331" s="3" t="s">
        <v>58</v>
      </c>
      <c r="AQ331" s="3" t="s">
        <v>115</v>
      </c>
      <c r="AR331" s="6" t="str">
        <f>HYPERLINK("http://catalog.hathitrust.org/Record/001579236","HathiTrust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HYPERLINK("https://creighton-primo.hosted.exlibrisgroup.com/primo-explore/search?tab=default_tab&amp;search_scope=EVERYTHING&amp;vid=01CRU&amp;lang=en_US&amp;offset=0&amp;query=any,contains,991001003019702656","Catalog Record")</f>
        <v>Catalog Record</v>
      </c>
      <c r="AT331" s="6" t="str">
        <f>HYPERLINK("http://www.worldcat.org/oclc/914911","WorldCat Record")</f>
        <v>WorldCat Record</v>
      </c>
    </row>
    <row r="332" spans="1:46" ht="40.5" customHeight="1" x14ac:dyDescent="0.25">
      <c r="A332" s="8" t="s">
        <v>58</v>
      </c>
      <c r="B332" s="2" t="s">
        <v>2827</v>
      </c>
      <c r="C332" s="2" t="s">
        <v>2828</v>
      </c>
      <c r="D332" s="2" t="s">
        <v>2829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K332" s="2" t="s">
        <v>2830</v>
      </c>
      <c r="L332" s="2" t="s">
        <v>2831</v>
      </c>
      <c r="M332" s="3" t="s">
        <v>993</v>
      </c>
      <c r="N332" s="2" t="s">
        <v>936</v>
      </c>
      <c r="O332" s="3" t="s">
        <v>64</v>
      </c>
      <c r="P332" s="3" t="s">
        <v>112</v>
      </c>
      <c r="Q332" s="2" t="s">
        <v>2483</v>
      </c>
      <c r="R332" s="3" t="s">
        <v>1346</v>
      </c>
      <c r="S332" s="4">
        <v>6</v>
      </c>
      <c r="T332" s="4">
        <v>6</v>
      </c>
      <c r="U332" s="5" t="s">
        <v>2832</v>
      </c>
      <c r="V332" s="5" t="s">
        <v>2832</v>
      </c>
      <c r="W332" s="5" t="s">
        <v>2833</v>
      </c>
      <c r="X332" s="5" t="s">
        <v>2833</v>
      </c>
      <c r="Y332" s="4">
        <v>47</v>
      </c>
      <c r="Z332" s="4">
        <v>14</v>
      </c>
      <c r="AA332" s="4">
        <v>59</v>
      </c>
      <c r="AB332" s="4">
        <v>1</v>
      </c>
      <c r="AC332" s="4">
        <v>2</v>
      </c>
      <c r="AD332" s="4">
        <v>0</v>
      </c>
      <c r="AE332" s="4">
        <v>4</v>
      </c>
      <c r="AF332" s="4">
        <v>0</v>
      </c>
      <c r="AG332" s="4">
        <v>0</v>
      </c>
      <c r="AH332" s="4">
        <v>0</v>
      </c>
      <c r="AI332" s="4">
        <v>2</v>
      </c>
      <c r="AJ332" s="4">
        <v>0</v>
      </c>
      <c r="AK332" s="4">
        <v>2</v>
      </c>
      <c r="AL332" s="4">
        <v>0</v>
      </c>
      <c r="AM332" s="4">
        <v>1</v>
      </c>
      <c r="AN332" s="4">
        <v>0</v>
      </c>
      <c r="AO332" s="4">
        <v>0</v>
      </c>
      <c r="AP332" s="3" t="s">
        <v>58</v>
      </c>
      <c r="AQ332" s="3" t="s">
        <v>58</v>
      </c>
      <c r="AS332" s="6" t="str">
        <f>HYPERLINK("https://creighton-primo.hosted.exlibrisgroup.com/primo-explore/search?tab=default_tab&amp;search_scope=EVERYTHING&amp;vid=01CRU&amp;lang=en_US&amp;offset=0&amp;query=any,contains,991000331259702656","Catalog Record")</f>
        <v>Catalog Record</v>
      </c>
      <c r="AT332" s="6" t="str">
        <f>HYPERLINK("http://www.worldcat.org/oclc/48381103","WorldCat Record")</f>
        <v>WorldCat Record</v>
      </c>
    </row>
    <row r="333" spans="1:46" ht="40.5" customHeight="1" x14ac:dyDescent="0.25">
      <c r="A333" s="8" t="s">
        <v>58</v>
      </c>
      <c r="B333" s="2" t="s">
        <v>2834</v>
      </c>
      <c r="C333" s="2" t="s">
        <v>2835</v>
      </c>
      <c r="D333" s="2" t="s">
        <v>2836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2837</v>
      </c>
      <c r="L333" s="2" t="s">
        <v>2246</v>
      </c>
      <c r="M333" s="3" t="s">
        <v>408</v>
      </c>
      <c r="O333" s="3" t="s">
        <v>64</v>
      </c>
      <c r="P333" s="3" t="s">
        <v>1355</v>
      </c>
      <c r="R333" s="3" t="s">
        <v>1346</v>
      </c>
      <c r="S333" s="4">
        <v>3</v>
      </c>
      <c r="T333" s="4">
        <v>3</v>
      </c>
      <c r="U333" s="5" t="s">
        <v>2838</v>
      </c>
      <c r="V333" s="5" t="s">
        <v>2838</v>
      </c>
      <c r="W333" s="5" t="s">
        <v>2335</v>
      </c>
      <c r="X333" s="5" t="s">
        <v>2335</v>
      </c>
      <c r="Y333" s="4">
        <v>34</v>
      </c>
      <c r="Z333" s="4">
        <v>22</v>
      </c>
      <c r="AA333" s="4">
        <v>104</v>
      </c>
      <c r="AB333" s="4">
        <v>1</v>
      </c>
      <c r="AC333" s="4">
        <v>2</v>
      </c>
      <c r="AD333" s="4">
        <v>1</v>
      </c>
      <c r="AE333" s="4">
        <v>4</v>
      </c>
      <c r="AF333" s="4">
        <v>0</v>
      </c>
      <c r="AG333" s="4">
        <v>0</v>
      </c>
      <c r="AH333" s="4">
        <v>1</v>
      </c>
      <c r="AI333" s="4">
        <v>2</v>
      </c>
      <c r="AJ333" s="4">
        <v>0</v>
      </c>
      <c r="AK333" s="4">
        <v>2</v>
      </c>
      <c r="AL333" s="4">
        <v>0</v>
      </c>
      <c r="AM333" s="4">
        <v>1</v>
      </c>
      <c r="AN333" s="4">
        <v>0</v>
      </c>
      <c r="AO333" s="4">
        <v>0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HYPERLINK("https://creighton-primo.hosted.exlibrisgroup.com/primo-explore/search?tab=default_tab&amp;search_scope=EVERYTHING&amp;vid=01CRU&amp;lang=en_US&amp;offset=0&amp;query=any,contains,991000953419702656","Catalog Record")</f>
        <v>Catalog Record</v>
      </c>
      <c r="AT333" s="6" t="str">
        <f>HYPERLINK("http://www.worldcat.org/oclc/11068408","WorldCat Record")</f>
        <v>WorldCat Record</v>
      </c>
    </row>
    <row r="334" spans="1:46" ht="40.5" customHeight="1" x14ac:dyDescent="0.25">
      <c r="A334" s="8" t="s">
        <v>58</v>
      </c>
      <c r="B334" s="2" t="s">
        <v>2839</v>
      </c>
      <c r="C334" s="2" t="s">
        <v>2840</v>
      </c>
      <c r="D334" s="2" t="s">
        <v>2841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2842</v>
      </c>
      <c r="L334" s="2" t="s">
        <v>2843</v>
      </c>
      <c r="M334" s="3" t="s">
        <v>424</v>
      </c>
      <c r="N334" s="2" t="s">
        <v>143</v>
      </c>
      <c r="O334" s="3" t="s">
        <v>64</v>
      </c>
      <c r="P334" s="3" t="s">
        <v>112</v>
      </c>
      <c r="Q334" s="2" t="s">
        <v>2483</v>
      </c>
      <c r="R334" s="3" t="s">
        <v>1346</v>
      </c>
      <c r="S334" s="4">
        <v>11</v>
      </c>
      <c r="T334" s="4">
        <v>11</v>
      </c>
      <c r="U334" s="5" t="s">
        <v>2844</v>
      </c>
      <c r="V334" s="5" t="s">
        <v>2844</v>
      </c>
      <c r="W334" s="5" t="s">
        <v>2845</v>
      </c>
      <c r="X334" s="5" t="s">
        <v>2845</v>
      </c>
      <c r="Y334" s="4">
        <v>97</v>
      </c>
      <c r="Z334" s="4">
        <v>46</v>
      </c>
      <c r="AA334" s="4">
        <v>71</v>
      </c>
      <c r="AB334" s="4">
        <v>1</v>
      </c>
      <c r="AC334" s="4">
        <v>1</v>
      </c>
      <c r="AD334" s="4">
        <v>2</v>
      </c>
      <c r="AE334" s="4">
        <v>2</v>
      </c>
      <c r="AF334" s="4">
        <v>0</v>
      </c>
      <c r="AG334" s="4">
        <v>0</v>
      </c>
      <c r="AH334" s="4">
        <v>1</v>
      </c>
      <c r="AI334" s="4">
        <v>1</v>
      </c>
      <c r="AJ334" s="4">
        <v>2</v>
      </c>
      <c r="AK334" s="4">
        <v>2</v>
      </c>
      <c r="AL334" s="4">
        <v>0</v>
      </c>
      <c r="AM334" s="4">
        <v>0</v>
      </c>
      <c r="AN334" s="4">
        <v>0</v>
      </c>
      <c r="AO334" s="4">
        <v>0</v>
      </c>
      <c r="AP334" s="3" t="s">
        <v>58</v>
      </c>
      <c r="AQ334" s="3" t="s">
        <v>115</v>
      </c>
      <c r="AR334" s="6" t="str">
        <f>HYPERLINK("http://catalog.hathitrust.org/Record/002906769","HathiTrust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HYPERLINK("https://creighton-primo.hosted.exlibrisgroup.com/primo-explore/search?tab=default_tab&amp;search_scope=EVERYTHING&amp;vid=01CRU&amp;lang=en_US&amp;offset=0&amp;query=any,contains,991001399349702656","Catalog Record")</f>
        <v>Catalog Record</v>
      </c>
      <c r="AT334" s="6" t="str">
        <f>HYPERLINK("http://www.worldcat.org/oclc/29877093","WorldCat Record")</f>
        <v>WorldCat Record</v>
      </c>
    </row>
    <row r="335" spans="1:46" ht="40.5" customHeight="1" x14ac:dyDescent="0.25">
      <c r="A335" s="8" t="s">
        <v>58</v>
      </c>
      <c r="B335" s="2" t="s">
        <v>2846</v>
      </c>
      <c r="C335" s="2" t="s">
        <v>2847</v>
      </c>
      <c r="D335" s="2" t="s">
        <v>2848</v>
      </c>
      <c r="F335" s="3" t="s">
        <v>58</v>
      </c>
      <c r="G335" s="3" t="s">
        <v>59</v>
      </c>
      <c r="H335" s="3" t="s">
        <v>58</v>
      </c>
      <c r="I335" s="3" t="s">
        <v>115</v>
      </c>
      <c r="J335" s="3" t="s">
        <v>60</v>
      </c>
      <c r="K335" s="2" t="s">
        <v>2849</v>
      </c>
      <c r="L335" s="2" t="s">
        <v>2850</v>
      </c>
      <c r="M335" s="3" t="s">
        <v>1023</v>
      </c>
      <c r="N335" s="2" t="s">
        <v>1534</v>
      </c>
      <c r="O335" s="3" t="s">
        <v>64</v>
      </c>
      <c r="P335" s="3" t="s">
        <v>144</v>
      </c>
      <c r="R335" s="3" t="s">
        <v>1346</v>
      </c>
      <c r="S335" s="4">
        <v>2</v>
      </c>
      <c r="T335" s="4">
        <v>2</v>
      </c>
      <c r="U335" s="5" t="s">
        <v>2851</v>
      </c>
      <c r="V335" s="5" t="s">
        <v>2851</v>
      </c>
      <c r="W335" s="5" t="s">
        <v>1570</v>
      </c>
      <c r="X335" s="5" t="s">
        <v>1570</v>
      </c>
      <c r="Y335" s="4">
        <v>274</v>
      </c>
      <c r="Z335" s="4">
        <v>210</v>
      </c>
      <c r="AA335" s="4">
        <v>731</v>
      </c>
      <c r="AB335" s="4">
        <v>1</v>
      </c>
      <c r="AC335" s="4">
        <v>3</v>
      </c>
      <c r="AD335" s="4">
        <v>3</v>
      </c>
      <c r="AE335" s="4">
        <v>21</v>
      </c>
      <c r="AF335" s="4">
        <v>2</v>
      </c>
      <c r="AG335" s="4">
        <v>11</v>
      </c>
      <c r="AH335" s="4">
        <v>0</v>
      </c>
      <c r="AI335" s="4">
        <v>3</v>
      </c>
      <c r="AJ335" s="4">
        <v>1</v>
      </c>
      <c r="AK335" s="4">
        <v>10</v>
      </c>
      <c r="AL335" s="4">
        <v>0</v>
      </c>
      <c r="AM335" s="4">
        <v>1</v>
      </c>
      <c r="AN335" s="4">
        <v>0</v>
      </c>
      <c r="AO335" s="4">
        <v>0</v>
      </c>
      <c r="AP335" s="3" t="s">
        <v>58</v>
      </c>
      <c r="AQ335" s="3" t="s">
        <v>58</v>
      </c>
      <c r="AS335" s="6" t="str">
        <f>HYPERLINK("https://creighton-primo.hosted.exlibrisgroup.com/primo-explore/search?tab=default_tab&amp;search_scope=EVERYTHING&amp;vid=01CRU&amp;lang=en_US&amp;offset=0&amp;query=any,contains,991001738049702656","Catalog Record")</f>
        <v>Catalog Record</v>
      </c>
      <c r="AT335" s="6" t="str">
        <f>HYPERLINK("http://www.worldcat.org/oclc/62078260","WorldCat Record")</f>
        <v>WorldCat Record</v>
      </c>
    </row>
    <row r="336" spans="1:46" ht="40.5" customHeight="1" x14ac:dyDescent="0.25">
      <c r="A336" s="8" t="s">
        <v>58</v>
      </c>
      <c r="B336" s="2" t="s">
        <v>2852</v>
      </c>
      <c r="C336" s="2" t="s">
        <v>2853</v>
      </c>
      <c r="D336" s="2" t="s">
        <v>2552</v>
      </c>
      <c r="F336" s="3" t="s">
        <v>58</v>
      </c>
      <c r="G336" s="3" t="s">
        <v>59</v>
      </c>
      <c r="H336" s="3" t="s">
        <v>58</v>
      </c>
      <c r="I336" s="3" t="s">
        <v>115</v>
      </c>
      <c r="J336" s="3" t="s">
        <v>60</v>
      </c>
      <c r="K336" s="2" t="s">
        <v>2553</v>
      </c>
      <c r="L336" s="2" t="s">
        <v>2854</v>
      </c>
      <c r="M336" s="3" t="s">
        <v>380</v>
      </c>
      <c r="N336" s="2" t="s">
        <v>1534</v>
      </c>
      <c r="O336" s="3" t="s">
        <v>64</v>
      </c>
      <c r="P336" s="3" t="s">
        <v>144</v>
      </c>
      <c r="R336" s="3" t="s">
        <v>1346</v>
      </c>
      <c r="S336" s="4">
        <v>4</v>
      </c>
      <c r="T336" s="4">
        <v>4</v>
      </c>
      <c r="U336" s="5" t="s">
        <v>1851</v>
      </c>
      <c r="V336" s="5" t="s">
        <v>1851</v>
      </c>
      <c r="W336" s="5" t="s">
        <v>1778</v>
      </c>
      <c r="X336" s="5" t="s">
        <v>1778</v>
      </c>
      <c r="Y336" s="4">
        <v>11</v>
      </c>
      <c r="Z336" s="4">
        <v>10</v>
      </c>
      <c r="AA336" s="4">
        <v>158</v>
      </c>
      <c r="AB336" s="4">
        <v>1</v>
      </c>
      <c r="AC336" s="4">
        <v>1</v>
      </c>
      <c r="AD336" s="4">
        <v>0</v>
      </c>
      <c r="AE336" s="4">
        <v>2</v>
      </c>
      <c r="AF336" s="4">
        <v>0</v>
      </c>
      <c r="AG336" s="4">
        <v>2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3" t="s">
        <v>58</v>
      </c>
      <c r="AQ336" s="3" t="s">
        <v>115</v>
      </c>
      <c r="AR336" s="6" t="str">
        <f>HYPERLINK("http://catalog.hathitrust.org/Record/007068070","HathiTrust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HYPERLINK("https://creighton-primo.hosted.exlibrisgroup.com/primo-explore/search?tab=default_tab&amp;search_scope=EVERYTHING&amp;vid=01CRU&amp;lang=en_US&amp;offset=0&amp;query=any,contains,991001511619702656","Catalog Record")</f>
        <v>Catalog Record</v>
      </c>
      <c r="AT336" s="6" t="str">
        <f>HYPERLINK("http://www.worldcat.org/oclc/28233351","WorldCat Record")</f>
        <v>WorldCat Record</v>
      </c>
    </row>
    <row r="337" spans="1:46" ht="40.5" customHeight="1" x14ac:dyDescent="0.25">
      <c r="A337" s="8" t="s">
        <v>58</v>
      </c>
      <c r="B337" s="2" t="s">
        <v>2855</v>
      </c>
      <c r="C337" s="2" t="s">
        <v>2856</v>
      </c>
      <c r="D337" s="2" t="s">
        <v>2857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L337" s="2" t="s">
        <v>2858</v>
      </c>
      <c r="M337" s="3" t="s">
        <v>725</v>
      </c>
      <c r="O337" s="3" t="s">
        <v>64</v>
      </c>
      <c r="P337" s="3" t="s">
        <v>1355</v>
      </c>
      <c r="Q337" s="2" t="s">
        <v>2859</v>
      </c>
      <c r="R337" s="3" t="s">
        <v>1346</v>
      </c>
      <c r="S337" s="4">
        <v>8</v>
      </c>
      <c r="T337" s="4">
        <v>8</v>
      </c>
      <c r="U337" s="5" t="s">
        <v>2860</v>
      </c>
      <c r="V337" s="5" t="s">
        <v>2860</v>
      </c>
      <c r="W337" s="5" t="s">
        <v>1436</v>
      </c>
      <c r="X337" s="5" t="s">
        <v>1436</v>
      </c>
      <c r="Y337" s="4">
        <v>155</v>
      </c>
      <c r="Z337" s="4">
        <v>150</v>
      </c>
      <c r="AA337" s="4">
        <v>154</v>
      </c>
      <c r="AB337" s="4">
        <v>1</v>
      </c>
      <c r="AC337" s="4">
        <v>1</v>
      </c>
      <c r="AD337" s="4">
        <v>1</v>
      </c>
      <c r="AE337" s="4">
        <v>1</v>
      </c>
      <c r="AF337" s="4">
        <v>0</v>
      </c>
      <c r="AG337" s="4">
        <v>0</v>
      </c>
      <c r="AH337" s="4">
        <v>0</v>
      </c>
      <c r="AI337" s="4">
        <v>0</v>
      </c>
      <c r="AJ337" s="4">
        <v>1</v>
      </c>
      <c r="AK337" s="4">
        <v>1</v>
      </c>
      <c r="AL337" s="4">
        <v>0</v>
      </c>
      <c r="AM337" s="4">
        <v>0</v>
      </c>
      <c r="AN337" s="4">
        <v>0</v>
      </c>
      <c r="AO337" s="4">
        <v>0</v>
      </c>
      <c r="AP337" s="3" t="s">
        <v>58</v>
      </c>
      <c r="AQ337" s="3" t="s">
        <v>115</v>
      </c>
      <c r="AR337" s="6" t="str">
        <f>HYPERLINK("http://catalog.hathitrust.org/Record/000270341","HathiTrust Record")</f>
        <v>HathiTrust Record</v>
      </c>
      <c r="AS337" s="6" t="str">
        <f>HYPERLINK("https://creighton-primo.hosted.exlibrisgroup.com/primo-explore/search?tab=default_tab&amp;search_scope=EVERYTHING&amp;vid=01CRU&amp;lang=en_US&amp;offset=0&amp;query=any,contains,991000747899702656","Catalog Record")</f>
        <v>Catalog Record</v>
      </c>
      <c r="AT337" s="6" t="str">
        <f>HYPERLINK("http://www.worldcat.org/oclc/8114411","WorldCat Record")</f>
        <v>WorldCat Record</v>
      </c>
    </row>
    <row r="338" spans="1:46" ht="40.5" customHeight="1" x14ac:dyDescent="0.25">
      <c r="A338" s="8" t="s">
        <v>58</v>
      </c>
      <c r="B338" s="2" t="s">
        <v>2861</v>
      </c>
      <c r="C338" s="2" t="s">
        <v>2862</v>
      </c>
      <c r="D338" s="2" t="s">
        <v>2863</v>
      </c>
      <c r="F338" s="3" t="s">
        <v>58</v>
      </c>
      <c r="G338" s="3" t="s">
        <v>1440</v>
      </c>
      <c r="H338" s="3" t="s">
        <v>58</v>
      </c>
      <c r="I338" s="3" t="s">
        <v>58</v>
      </c>
      <c r="J338" s="3" t="s">
        <v>60</v>
      </c>
      <c r="L338" s="2" t="s">
        <v>2864</v>
      </c>
      <c r="M338" s="3" t="s">
        <v>725</v>
      </c>
      <c r="N338" s="2" t="s">
        <v>2865</v>
      </c>
      <c r="O338" s="3" t="s">
        <v>64</v>
      </c>
      <c r="P338" s="3" t="s">
        <v>1355</v>
      </c>
      <c r="R338" s="3" t="s">
        <v>1346</v>
      </c>
      <c r="S338" s="4">
        <v>5</v>
      </c>
      <c r="T338" s="4">
        <v>5</v>
      </c>
      <c r="U338" s="5" t="s">
        <v>2866</v>
      </c>
      <c r="V338" s="5" t="s">
        <v>2866</v>
      </c>
      <c r="W338" s="5" t="s">
        <v>2286</v>
      </c>
      <c r="X338" s="5" t="s">
        <v>2286</v>
      </c>
      <c r="Y338" s="4">
        <v>135</v>
      </c>
      <c r="Z338" s="4">
        <v>107</v>
      </c>
      <c r="AA338" s="4">
        <v>109</v>
      </c>
      <c r="AB338" s="4">
        <v>1</v>
      </c>
      <c r="AC338" s="4">
        <v>1</v>
      </c>
      <c r="AD338" s="4">
        <v>2</v>
      </c>
      <c r="AE338" s="4">
        <v>2</v>
      </c>
      <c r="AF338" s="4">
        <v>1</v>
      </c>
      <c r="AG338" s="4">
        <v>1</v>
      </c>
      <c r="AH338" s="4">
        <v>0</v>
      </c>
      <c r="AI338" s="4">
        <v>0</v>
      </c>
      <c r="AJ338" s="4">
        <v>2</v>
      </c>
      <c r="AK338" s="4">
        <v>2</v>
      </c>
      <c r="AL338" s="4">
        <v>0</v>
      </c>
      <c r="AM338" s="4">
        <v>0</v>
      </c>
      <c r="AN338" s="4">
        <v>0</v>
      </c>
      <c r="AO338" s="4">
        <v>0</v>
      </c>
      <c r="AP338" s="3" t="s">
        <v>58</v>
      </c>
      <c r="AQ338" s="3" t="s">
        <v>58</v>
      </c>
      <c r="AS338" s="6" t="str">
        <f>HYPERLINK("https://creighton-primo.hosted.exlibrisgroup.com/primo-explore/search?tab=default_tab&amp;search_scope=EVERYTHING&amp;vid=01CRU&amp;lang=en_US&amp;offset=0&amp;query=any,contains,991001176859702656","Catalog Record")</f>
        <v>Catalog Record</v>
      </c>
      <c r="AT338" s="6" t="str">
        <f>HYPERLINK("http://www.worldcat.org/oclc/7733325","WorldCat Record")</f>
        <v>WorldCat Record</v>
      </c>
    </row>
    <row r="339" spans="1:46" ht="40.5" customHeight="1" x14ac:dyDescent="0.25">
      <c r="A339" s="8" t="s">
        <v>58</v>
      </c>
      <c r="B339" s="2" t="s">
        <v>2867</v>
      </c>
      <c r="C339" s="2" t="s">
        <v>2868</v>
      </c>
      <c r="D339" s="2" t="s">
        <v>2869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L339" s="2" t="s">
        <v>2854</v>
      </c>
      <c r="M339" s="3" t="s">
        <v>380</v>
      </c>
      <c r="N339" s="2" t="s">
        <v>174</v>
      </c>
      <c r="O339" s="3" t="s">
        <v>64</v>
      </c>
      <c r="P339" s="3" t="s">
        <v>144</v>
      </c>
      <c r="R339" s="3" t="s">
        <v>1346</v>
      </c>
      <c r="S339" s="4">
        <v>2</v>
      </c>
      <c r="T339" s="4">
        <v>2</v>
      </c>
      <c r="U339" s="5" t="s">
        <v>1851</v>
      </c>
      <c r="V339" s="5" t="s">
        <v>1851</v>
      </c>
      <c r="W339" s="5" t="s">
        <v>1778</v>
      </c>
      <c r="X339" s="5" t="s">
        <v>1778</v>
      </c>
      <c r="Y339" s="4">
        <v>11</v>
      </c>
      <c r="Z339" s="4">
        <v>10</v>
      </c>
      <c r="AA339" s="4">
        <v>10</v>
      </c>
      <c r="AB339" s="4">
        <v>1</v>
      </c>
      <c r="AC339" s="4">
        <v>1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3" t="s">
        <v>58</v>
      </c>
      <c r="AQ339" s="3" t="s">
        <v>58</v>
      </c>
      <c r="AS339" s="6" t="str">
        <f>HYPERLINK("https://creighton-primo.hosted.exlibrisgroup.com/primo-explore/search?tab=default_tab&amp;search_scope=EVERYTHING&amp;vid=01CRU&amp;lang=en_US&amp;offset=0&amp;query=any,contains,991001511649702656","Catalog Record")</f>
        <v>Catalog Record</v>
      </c>
      <c r="AT339" s="6" t="str">
        <f>HYPERLINK("http://www.worldcat.org/oclc/28581559","WorldCat Record")</f>
        <v>WorldCat Record</v>
      </c>
    </row>
    <row r="340" spans="1:46" ht="40.5" customHeight="1" x14ac:dyDescent="0.25">
      <c r="A340" s="8" t="s">
        <v>58</v>
      </c>
      <c r="B340" s="2" t="s">
        <v>2870</v>
      </c>
      <c r="C340" s="2" t="s">
        <v>2871</v>
      </c>
      <c r="D340" s="2" t="s">
        <v>2872</v>
      </c>
      <c r="F340" s="3" t="s">
        <v>58</v>
      </c>
      <c r="G340" s="3" t="s">
        <v>59</v>
      </c>
      <c r="H340" s="3" t="s">
        <v>58</v>
      </c>
      <c r="I340" s="3" t="s">
        <v>115</v>
      </c>
      <c r="J340" s="3" t="s">
        <v>60</v>
      </c>
      <c r="L340" s="2" t="s">
        <v>2873</v>
      </c>
      <c r="M340" s="3" t="s">
        <v>1392</v>
      </c>
      <c r="N340" s="2" t="s">
        <v>1362</v>
      </c>
      <c r="O340" s="3" t="s">
        <v>64</v>
      </c>
      <c r="P340" s="3" t="s">
        <v>291</v>
      </c>
      <c r="R340" s="3" t="s">
        <v>1346</v>
      </c>
      <c r="S340" s="4">
        <v>11</v>
      </c>
      <c r="T340" s="4">
        <v>11</v>
      </c>
      <c r="U340" s="5" t="s">
        <v>2874</v>
      </c>
      <c r="V340" s="5" t="s">
        <v>2874</v>
      </c>
      <c r="W340" s="5" t="s">
        <v>1436</v>
      </c>
      <c r="X340" s="5" t="s">
        <v>1436</v>
      </c>
      <c r="Y340" s="4">
        <v>122</v>
      </c>
      <c r="Z340" s="4">
        <v>94</v>
      </c>
      <c r="AA340" s="4">
        <v>314</v>
      </c>
      <c r="AB340" s="4">
        <v>1</v>
      </c>
      <c r="AC340" s="4">
        <v>2</v>
      </c>
      <c r="AD340" s="4">
        <v>1</v>
      </c>
      <c r="AE340" s="4">
        <v>6</v>
      </c>
      <c r="AF340" s="4">
        <v>1</v>
      </c>
      <c r="AG340" s="4">
        <v>4</v>
      </c>
      <c r="AH340" s="4">
        <v>0</v>
      </c>
      <c r="AI340" s="4">
        <v>1</v>
      </c>
      <c r="AJ340" s="4">
        <v>0</v>
      </c>
      <c r="AK340" s="4">
        <v>2</v>
      </c>
      <c r="AL340" s="4">
        <v>0</v>
      </c>
      <c r="AM340" s="4">
        <v>1</v>
      </c>
      <c r="AN340" s="4">
        <v>0</v>
      </c>
      <c r="AO340" s="4">
        <v>0</v>
      </c>
      <c r="AP340" s="3" t="s">
        <v>58</v>
      </c>
      <c r="AQ340" s="3" t="s">
        <v>115</v>
      </c>
      <c r="AR340" s="6" t="str">
        <f>HYPERLINK("http://catalog.hathitrust.org/Record/000315018","HathiTrust Record")</f>
        <v>HathiTrust Record</v>
      </c>
      <c r="AS340" s="6" t="str">
        <f>HYPERLINK("https://creighton-primo.hosted.exlibrisgroup.com/primo-explore/search?tab=default_tab&amp;search_scope=EVERYTHING&amp;vid=01CRU&amp;lang=en_US&amp;offset=0&amp;query=any,contains,991000747939702656","Catalog Record")</f>
        <v>Catalog Record</v>
      </c>
      <c r="AT340" s="6" t="str">
        <f>HYPERLINK("http://www.worldcat.org/oclc/9043234","WorldCat Record")</f>
        <v>WorldCat Record</v>
      </c>
    </row>
    <row r="341" spans="1:46" ht="40.5" customHeight="1" x14ac:dyDescent="0.25">
      <c r="A341" s="8" t="s">
        <v>58</v>
      </c>
      <c r="B341" s="2" t="s">
        <v>2875</v>
      </c>
      <c r="C341" s="2" t="s">
        <v>2876</v>
      </c>
      <c r="D341" s="2" t="s">
        <v>2877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L341" s="2" t="s">
        <v>2878</v>
      </c>
      <c r="M341" s="3" t="s">
        <v>572</v>
      </c>
      <c r="O341" s="3" t="s">
        <v>64</v>
      </c>
      <c r="P341" s="3" t="s">
        <v>65</v>
      </c>
      <c r="R341" s="3" t="s">
        <v>1346</v>
      </c>
      <c r="S341" s="4">
        <v>0</v>
      </c>
      <c r="T341" s="4">
        <v>0</v>
      </c>
      <c r="U341" s="5" t="s">
        <v>2879</v>
      </c>
      <c r="V341" s="5" t="s">
        <v>2879</v>
      </c>
      <c r="W341" s="5" t="s">
        <v>2880</v>
      </c>
      <c r="X341" s="5" t="s">
        <v>2880</v>
      </c>
      <c r="Y341" s="4">
        <v>161</v>
      </c>
      <c r="Z341" s="4">
        <v>109</v>
      </c>
      <c r="AA341" s="4">
        <v>111</v>
      </c>
      <c r="AB341" s="4">
        <v>1</v>
      </c>
      <c r="AC341" s="4">
        <v>1</v>
      </c>
      <c r="AD341" s="4">
        <v>4</v>
      </c>
      <c r="AE341" s="4">
        <v>4</v>
      </c>
      <c r="AF341" s="4">
        <v>2</v>
      </c>
      <c r="AG341" s="4">
        <v>2</v>
      </c>
      <c r="AH341" s="4">
        <v>1</v>
      </c>
      <c r="AI341" s="4">
        <v>1</v>
      </c>
      <c r="AJ341" s="4">
        <v>1</v>
      </c>
      <c r="AK341" s="4">
        <v>1</v>
      </c>
      <c r="AL341" s="4">
        <v>0</v>
      </c>
      <c r="AM341" s="4">
        <v>0</v>
      </c>
      <c r="AN341" s="4">
        <v>0</v>
      </c>
      <c r="AO341" s="4">
        <v>0</v>
      </c>
      <c r="AP341" s="3" t="s">
        <v>58</v>
      </c>
      <c r="AQ341" s="3" t="s">
        <v>115</v>
      </c>
      <c r="AR341" s="6" t="str">
        <f>HYPERLINK("http://catalog.hathitrust.org/Record/004318873","HathiTrust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HYPERLINK("https://creighton-primo.hosted.exlibrisgroup.com/primo-explore/search?tab=default_tab&amp;search_scope=EVERYTHING&amp;vid=01CRU&amp;lang=en_US&amp;offset=0&amp;query=any,contains,991001464179702656","Catalog Record")</f>
        <v>Catalog Record</v>
      </c>
      <c r="AT341" s="6" t="str">
        <f>HYPERLINK("http://www.worldcat.org/oclc/48383568","WorldCat Record")</f>
        <v>WorldCat Record</v>
      </c>
    </row>
    <row r="342" spans="1:46" ht="40.5" customHeight="1" x14ac:dyDescent="0.25">
      <c r="A342" s="8" t="s">
        <v>58</v>
      </c>
      <c r="B342" s="2" t="s">
        <v>2881</v>
      </c>
      <c r="C342" s="2" t="s">
        <v>2882</v>
      </c>
      <c r="D342" s="2" t="s">
        <v>2883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2884</v>
      </c>
      <c r="L342" s="2" t="s">
        <v>2885</v>
      </c>
      <c r="M342" s="3" t="s">
        <v>290</v>
      </c>
      <c r="O342" s="3" t="s">
        <v>64</v>
      </c>
      <c r="P342" s="3" t="s">
        <v>1355</v>
      </c>
      <c r="Q342" s="2" t="s">
        <v>2886</v>
      </c>
      <c r="R342" s="3" t="s">
        <v>1346</v>
      </c>
      <c r="S342" s="4">
        <v>4</v>
      </c>
      <c r="T342" s="4">
        <v>4</v>
      </c>
      <c r="U342" s="5" t="s">
        <v>2887</v>
      </c>
      <c r="V342" s="5" t="s">
        <v>2887</v>
      </c>
      <c r="W342" s="5" t="s">
        <v>2888</v>
      </c>
      <c r="X342" s="5" t="s">
        <v>2888</v>
      </c>
      <c r="Y342" s="4">
        <v>87</v>
      </c>
      <c r="Z342" s="4">
        <v>65</v>
      </c>
      <c r="AA342" s="4">
        <v>67</v>
      </c>
      <c r="AB342" s="4">
        <v>2</v>
      </c>
      <c r="AC342" s="4">
        <v>2</v>
      </c>
      <c r="AD342" s="4">
        <v>1</v>
      </c>
      <c r="AE342" s="4">
        <v>1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1</v>
      </c>
      <c r="AM342" s="4">
        <v>1</v>
      </c>
      <c r="AN342" s="4">
        <v>0</v>
      </c>
      <c r="AO342" s="4">
        <v>0</v>
      </c>
      <c r="AP342" s="3" t="s">
        <v>58</v>
      </c>
      <c r="AQ342" s="3" t="s">
        <v>115</v>
      </c>
      <c r="AR342" s="6" t="str">
        <f>HYPERLINK("http://catalog.hathitrust.org/Record/002237734","HathiTrust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HYPERLINK("https://creighton-primo.hosted.exlibrisgroup.com/primo-explore/search?tab=default_tab&amp;search_scope=EVERYTHING&amp;vid=01CRU&amp;lang=en_US&amp;offset=0&amp;query=any,contains,991001111769702656","Catalog Record")</f>
        <v>Catalog Record</v>
      </c>
      <c r="AT342" s="6" t="str">
        <f>HYPERLINK("http://www.worldcat.org/oclc/18258255","WorldCat Record")</f>
        <v>WorldCat Record</v>
      </c>
    </row>
    <row r="343" spans="1:46" ht="40.5" customHeight="1" x14ac:dyDescent="0.25">
      <c r="A343" s="8" t="s">
        <v>58</v>
      </c>
      <c r="B343" s="2" t="s">
        <v>2889</v>
      </c>
      <c r="C343" s="2" t="s">
        <v>2890</v>
      </c>
      <c r="D343" s="2" t="s">
        <v>2891</v>
      </c>
      <c r="F343" s="3" t="s">
        <v>58</v>
      </c>
      <c r="G343" s="3" t="s">
        <v>59</v>
      </c>
      <c r="H343" s="3" t="s">
        <v>58</v>
      </c>
      <c r="I343" s="3" t="s">
        <v>115</v>
      </c>
      <c r="J343" s="3" t="s">
        <v>60</v>
      </c>
      <c r="K343" s="2" t="s">
        <v>2892</v>
      </c>
      <c r="L343" s="2" t="s">
        <v>2893</v>
      </c>
      <c r="M343" s="3" t="s">
        <v>235</v>
      </c>
      <c r="N343" s="2" t="s">
        <v>221</v>
      </c>
      <c r="O343" s="3" t="s">
        <v>64</v>
      </c>
      <c r="P343" s="3" t="s">
        <v>291</v>
      </c>
      <c r="R343" s="3" t="s">
        <v>1346</v>
      </c>
      <c r="S343" s="4">
        <v>3</v>
      </c>
      <c r="T343" s="4">
        <v>3</v>
      </c>
      <c r="U343" s="5" t="s">
        <v>2894</v>
      </c>
      <c r="V343" s="5" t="s">
        <v>2894</v>
      </c>
      <c r="W343" s="5" t="s">
        <v>2335</v>
      </c>
      <c r="X343" s="5" t="s">
        <v>2335</v>
      </c>
      <c r="Y343" s="4">
        <v>63</v>
      </c>
      <c r="Z343" s="4">
        <v>47</v>
      </c>
      <c r="AA343" s="4">
        <v>314</v>
      </c>
      <c r="AB343" s="4">
        <v>1</v>
      </c>
      <c r="AC343" s="4">
        <v>2</v>
      </c>
      <c r="AD343" s="4">
        <v>0</v>
      </c>
      <c r="AE343" s="4">
        <v>6</v>
      </c>
      <c r="AF343" s="4">
        <v>0</v>
      </c>
      <c r="AG343" s="4">
        <v>4</v>
      </c>
      <c r="AH343" s="4">
        <v>0</v>
      </c>
      <c r="AI343" s="4">
        <v>1</v>
      </c>
      <c r="AJ343" s="4">
        <v>0</v>
      </c>
      <c r="AK343" s="4">
        <v>2</v>
      </c>
      <c r="AL343" s="4">
        <v>0</v>
      </c>
      <c r="AM343" s="4">
        <v>1</v>
      </c>
      <c r="AN343" s="4">
        <v>0</v>
      </c>
      <c r="AO343" s="4">
        <v>0</v>
      </c>
      <c r="AP343" s="3" t="s">
        <v>58</v>
      </c>
      <c r="AQ343" s="3" t="s">
        <v>58</v>
      </c>
      <c r="AS343" s="6" t="str">
        <f>HYPERLINK("https://creighton-primo.hosted.exlibrisgroup.com/primo-explore/search?tab=default_tab&amp;search_scope=EVERYTHING&amp;vid=01CRU&amp;lang=en_US&amp;offset=0&amp;query=any,contains,991000953649702656","Catalog Record")</f>
        <v>Catalog Record</v>
      </c>
      <c r="AT343" s="6" t="str">
        <f>HYPERLINK("http://www.worldcat.org/oclc/3712062","WorldCat Record")</f>
        <v>WorldCat Record</v>
      </c>
    </row>
    <row r="344" spans="1:46" ht="40.5" customHeight="1" x14ac:dyDescent="0.25">
      <c r="A344" s="8" t="s">
        <v>58</v>
      </c>
      <c r="B344" s="2" t="s">
        <v>2895</v>
      </c>
      <c r="C344" s="2" t="s">
        <v>2896</v>
      </c>
      <c r="D344" s="2" t="s">
        <v>2897</v>
      </c>
      <c r="F344" s="3" t="s">
        <v>58</v>
      </c>
      <c r="G344" s="3" t="s">
        <v>59</v>
      </c>
      <c r="H344" s="3" t="s">
        <v>58</v>
      </c>
      <c r="I344" s="3" t="s">
        <v>115</v>
      </c>
      <c r="J344" s="3" t="s">
        <v>60</v>
      </c>
      <c r="L344" s="2" t="s">
        <v>2898</v>
      </c>
      <c r="M344" s="3" t="s">
        <v>483</v>
      </c>
      <c r="O344" s="3" t="s">
        <v>64</v>
      </c>
      <c r="P344" s="3" t="s">
        <v>65</v>
      </c>
      <c r="Q344" s="2" t="s">
        <v>2899</v>
      </c>
      <c r="R344" s="3" t="s">
        <v>1346</v>
      </c>
      <c r="S344" s="4">
        <v>9</v>
      </c>
      <c r="T344" s="4">
        <v>9</v>
      </c>
      <c r="U344" s="5" t="s">
        <v>2900</v>
      </c>
      <c r="V344" s="5" t="s">
        <v>2900</v>
      </c>
      <c r="W344" s="5" t="s">
        <v>2335</v>
      </c>
      <c r="X344" s="5" t="s">
        <v>2335</v>
      </c>
      <c r="Y344" s="4">
        <v>142</v>
      </c>
      <c r="Z344" s="4">
        <v>91</v>
      </c>
      <c r="AA344" s="4">
        <v>537</v>
      </c>
      <c r="AB344" s="4">
        <v>1</v>
      </c>
      <c r="AC344" s="4">
        <v>2</v>
      </c>
      <c r="AD344" s="4">
        <v>4</v>
      </c>
      <c r="AE344" s="4">
        <v>10</v>
      </c>
      <c r="AF344" s="4">
        <v>3</v>
      </c>
      <c r="AG344" s="4">
        <v>8</v>
      </c>
      <c r="AH344" s="4">
        <v>1</v>
      </c>
      <c r="AI344" s="4">
        <v>2</v>
      </c>
      <c r="AJ344" s="4">
        <v>1</v>
      </c>
      <c r="AK344" s="4">
        <v>1</v>
      </c>
      <c r="AL344" s="4">
        <v>0</v>
      </c>
      <c r="AM344" s="4">
        <v>1</v>
      </c>
      <c r="AN344" s="4">
        <v>0</v>
      </c>
      <c r="AO344" s="4">
        <v>0</v>
      </c>
      <c r="AP344" s="3" t="s">
        <v>58</v>
      </c>
      <c r="AQ344" s="3" t="s">
        <v>115</v>
      </c>
      <c r="AR344" s="6" t="str">
        <f>HYPERLINK("http://catalog.hathitrust.org/Record/000683374","HathiTrust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HYPERLINK("https://creighton-primo.hosted.exlibrisgroup.com/primo-explore/search?tab=default_tab&amp;search_scope=EVERYTHING&amp;vid=01CRU&amp;lang=en_US&amp;offset=0&amp;query=any,contains,991000953709702656","Catalog Record")</f>
        <v>Catalog Record</v>
      </c>
      <c r="AT344" s="6" t="str">
        <f>HYPERLINK("http://www.worldcat.org/oclc/5286412","WorldCat Record")</f>
        <v>WorldCat Record</v>
      </c>
    </row>
    <row r="345" spans="1:46" ht="40.5" customHeight="1" x14ac:dyDescent="0.25">
      <c r="A345" s="8" t="s">
        <v>58</v>
      </c>
      <c r="B345" s="2" t="s">
        <v>2901</v>
      </c>
      <c r="C345" s="2" t="s">
        <v>2902</v>
      </c>
      <c r="D345" s="2" t="s">
        <v>2903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K345" s="2" t="s">
        <v>2904</v>
      </c>
      <c r="L345" s="2" t="s">
        <v>2905</v>
      </c>
      <c r="M345" s="3" t="s">
        <v>1639</v>
      </c>
      <c r="O345" s="3" t="s">
        <v>64</v>
      </c>
      <c r="P345" s="3" t="s">
        <v>265</v>
      </c>
      <c r="R345" s="3" t="s">
        <v>1346</v>
      </c>
      <c r="S345" s="4">
        <v>0</v>
      </c>
      <c r="T345" s="4">
        <v>0</v>
      </c>
      <c r="U345" s="5" t="s">
        <v>2379</v>
      </c>
      <c r="V345" s="5" t="s">
        <v>2379</v>
      </c>
      <c r="W345" s="5" t="s">
        <v>2114</v>
      </c>
      <c r="X345" s="5" t="s">
        <v>2114</v>
      </c>
      <c r="Y345" s="4">
        <v>144</v>
      </c>
      <c r="Z345" s="4">
        <v>108</v>
      </c>
      <c r="AA345" s="4">
        <v>111</v>
      </c>
      <c r="AB345" s="4">
        <v>2</v>
      </c>
      <c r="AC345" s="4">
        <v>2</v>
      </c>
      <c r="AD345" s="4">
        <v>2</v>
      </c>
      <c r="AE345" s="4">
        <v>2</v>
      </c>
      <c r="AF345" s="4">
        <v>0</v>
      </c>
      <c r="AG345" s="4">
        <v>0</v>
      </c>
      <c r="AH345" s="4">
        <v>0</v>
      </c>
      <c r="AI345" s="4">
        <v>0</v>
      </c>
      <c r="AJ345" s="4">
        <v>1</v>
      </c>
      <c r="AK345" s="4">
        <v>1</v>
      </c>
      <c r="AL345" s="4">
        <v>1</v>
      </c>
      <c r="AM345" s="4">
        <v>1</v>
      </c>
      <c r="AN345" s="4">
        <v>0</v>
      </c>
      <c r="AO345" s="4">
        <v>0</v>
      </c>
      <c r="AP345" s="3" t="s">
        <v>58</v>
      </c>
      <c r="AQ345" s="3" t="s">
        <v>58</v>
      </c>
      <c r="AR345" s="6" t="str">
        <f>HYPERLINK("http://catalog.hathitrust.org/Record/001573908","HathiTrust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HYPERLINK("https://creighton-primo.hosted.exlibrisgroup.com/primo-explore/search?tab=default_tab&amp;search_scope=EVERYTHING&amp;vid=01CRU&amp;lang=en_US&amp;offset=0&amp;query=any,contains,991000952549702656","Catalog Record")</f>
        <v>Catalog Record</v>
      </c>
      <c r="AT345" s="6" t="str">
        <f>HYPERLINK("http://www.worldcat.org/oclc/1399040","WorldCat Record")</f>
        <v>WorldCat Record</v>
      </c>
    </row>
    <row r="346" spans="1:46" ht="40.5" customHeight="1" x14ac:dyDescent="0.25">
      <c r="A346" s="8" t="s">
        <v>58</v>
      </c>
      <c r="B346" s="2" t="s">
        <v>2906</v>
      </c>
      <c r="C346" s="2" t="s">
        <v>2907</v>
      </c>
      <c r="D346" s="2" t="s">
        <v>2908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L346" s="2" t="s">
        <v>1049</v>
      </c>
      <c r="M346" s="3" t="s">
        <v>189</v>
      </c>
      <c r="O346" s="3" t="s">
        <v>64</v>
      </c>
      <c r="P346" s="3" t="s">
        <v>613</v>
      </c>
      <c r="Q346" s="2" t="s">
        <v>2909</v>
      </c>
      <c r="R346" s="3" t="s">
        <v>1346</v>
      </c>
      <c r="S346" s="4">
        <v>8</v>
      </c>
      <c r="T346" s="4">
        <v>8</v>
      </c>
      <c r="U346" s="5" t="s">
        <v>2910</v>
      </c>
      <c r="V346" s="5" t="s">
        <v>2910</v>
      </c>
      <c r="W346" s="5" t="s">
        <v>2911</v>
      </c>
      <c r="X346" s="5" t="s">
        <v>2911</v>
      </c>
      <c r="Y346" s="4">
        <v>93</v>
      </c>
      <c r="Z346" s="4">
        <v>71</v>
      </c>
      <c r="AA346" s="4">
        <v>74</v>
      </c>
      <c r="AB346" s="4">
        <v>1</v>
      </c>
      <c r="AC346" s="4">
        <v>1</v>
      </c>
      <c r="AD346" s="4">
        <v>2</v>
      </c>
      <c r="AE346" s="4">
        <v>2</v>
      </c>
      <c r="AF346" s="4">
        <v>1</v>
      </c>
      <c r="AG346" s="4">
        <v>1</v>
      </c>
      <c r="AH346" s="4">
        <v>1</v>
      </c>
      <c r="AI346" s="4">
        <v>1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3" t="s">
        <v>58</v>
      </c>
      <c r="AQ346" s="3" t="s">
        <v>115</v>
      </c>
      <c r="AR346" s="6" t="str">
        <f>HYPERLINK("http://catalog.hathitrust.org/Record/002527129","HathiTrust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HYPERLINK("https://creighton-primo.hosted.exlibrisgroup.com/primo-explore/search?tab=default_tab&amp;search_scope=EVERYTHING&amp;vid=01CRU&amp;lang=en_US&amp;offset=0&amp;query=any,contains,991001304419702656","Catalog Record")</f>
        <v>Catalog Record</v>
      </c>
      <c r="AT346" s="6" t="str">
        <f>HYPERLINK("http://www.worldcat.org/oclc/24318421","WorldCat Record")</f>
        <v>WorldCat Record</v>
      </c>
    </row>
    <row r="347" spans="1:46" ht="40.5" customHeight="1" x14ac:dyDescent="0.25">
      <c r="A347" s="8" t="s">
        <v>58</v>
      </c>
      <c r="B347" s="2" t="s">
        <v>2912</v>
      </c>
      <c r="C347" s="2" t="s">
        <v>2913</v>
      </c>
      <c r="D347" s="2" t="s">
        <v>2914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60</v>
      </c>
      <c r="K347" s="2" t="s">
        <v>2915</v>
      </c>
      <c r="L347" s="2" t="s">
        <v>2916</v>
      </c>
      <c r="M347" s="3" t="s">
        <v>725</v>
      </c>
      <c r="O347" s="3" t="s">
        <v>64</v>
      </c>
      <c r="P347" s="3" t="s">
        <v>585</v>
      </c>
      <c r="R347" s="3" t="s">
        <v>1346</v>
      </c>
      <c r="S347" s="4">
        <v>2</v>
      </c>
      <c r="T347" s="4">
        <v>2</v>
      </c>
      <c r="U347" s="5" t="s">
        <v>2917</v>
      </c>
      <c r="V347" s="5" t="s">
        <v>2917</v>
      </c>
      <c r="W347" s="5" t="s">
        <v>2918</v>
      </c>
      <c r="X347" s="5" t="s">
        <v>2918</v>
      </c>
      <c r="Y347" s="4">
        <v>69</v>
      </c>
      <c r="Z347" s="4">
        <v>53</v>
      </c>
      <c r="AA347" s="4">
        <v>57</v>
      </c>
      <c r="AB347" s="4">
        <v>1</v>
      </c>
      <c r="AC347" s="4">
        <v>1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3" t="s">
        <v>58</v>
      </c>
      <c r="AQ347" s="3" t="s">
        <v>115</v>
      </c>
      <c r="AR347" s="6" t="str">
        <f>HYPERLINK("http://catalog.hathitrust.org/Record/000279285","HathiTrust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HYPERLINK("https://creighton-primo.hosted.exlibrisgroup.com/primo-explore/search?tab=default_tab&amp;search_scope=EVERYTHING&amp;vid=01CRU&amp;lang=en_US&amp;offset=0&amp;query=any,contains,991000957579702656","Catalog Record")</f>
        <v>Catalog Record</v>
      </c>
      <c r="AT347" s="6" t="str">
        <f>HYPERLINK("http://www.worldcat.org/oclc/8195091","WorldCat Record")</f>
        <v>WorldCat Record</v>
      </c>
    </row>
    <row r="348" spans="1:46" ht="40.5" customHeight="1" x14ac:dyDescent="0.25">
      <c r="A348" s="8" t="s">
        <v>58</v>
      </c>
      <c r="B348" s="2" t="s">
        <v>2919</v>
      </c>
      <c r="C348" s="2" t="s">
        <v>2920</v>
      </c>
      <c r="D348" s="2" t="s">
        <v>2921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60</v>
      </c>
      <c r="K348" s="2" t="s">
        <v>2922</v>
      </c>
      <c r="L348" s="2" t="s">
        <v>2923</v>
      </c>
      <c r="M348" s="3" t="s">
        <v>892</v>
      </c>
      <c r="N348" s="2" t="s">
        <v>174</v>
      </c>
      <c r="O348" s="3" t="s">
        <v>64</v>
      </c>
      <c r="P348" s="3" t="s">
        <v>755</v>
      </c>
      <c r="R348" s="3" t="s">
        <v>1346</v>
      </c>
      <c r="S348" s="4">
        <v>2</v>
      </c>
      <c r="T348" s="4">
        <v>2</v>
      </c>
      <c r="U348" s="5" t="s">
        <v>2924</v>
      </c>
      <c r="V348" s="5" t="s">
        <v>2924</v>
      </c>
      <c r="W348" s="5" t="s">
        <v>2443</v>
      </c>
      <c r="X348" s="5" t="s">
        <v>2443</v>
      </c>
      <c r="Y348" s="4">
        <v>167</v>
      </c>
      <c r="Z348" s="4">
        <v>143</v>
      </c>
      <c r="AA348" s="4">
        <v>145</v>
      </c>
      <c r="AB348" s="4">
        <v>2</v>
      </c>
      <c r="AC348" s="4">
        <v>2</v>
      </c>
      <c r="AD348" s="4">
        <v>3</v>
      </c>
      <c r="AE348" s="4">
        <v>3</v>
      </c>
      <c r="AF348" s="4">
        <v>0</v>
      </c>
      <c r="AG348" s="4">
        <v>0</v>
      </c>
      <c r="AH348" s="4">
        <v>0</v>
      </c>
      <c r="AI348" s="4">
        <v>0</v>
      </c>
      <c r="AJ348" s="4">
        <v>2</v>
      </c>
      <c r="AK348" s="4">
        <v>2</v>
      </c>
      <c r="AL348" s="4">
        <v>1</v>
      </c>
      <c r="AM348" s="4">
        <v>1</v>
      </c>
      <c r="AN348" s="4">
        <v>0</v>
      </c>
      <c r="AO348" s="4">
        <v>0</v>
      </c>
      <c r="AP348" s="3" t="s">
        <v>58</v>
      </c>
      <c r="AQ348" s="3" t="s">
        <v>115</v>
      </c>
      <c r="AR348" s="6" t="str">
        <f>HYPERLINK("http://catalog.hathitrust.org/Record/003995897","HathiTrust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HYPERLINK("https://creighton-primo.hosted.exlibrisgroup.com/primo-explore/search?tab=default_tab&amp;search_scope=EVERYTHING&amp;vid=01CRU&amp;lang=en_US&amp;offset=0&amp;query=any,contains,991001572129702656","Catalog Record")</f>
        <v>Catalog Record</v>
      </c>
      <c r="AT348" s="6" t="str">
        <f>HYPERLINK("http://www.worldcat.org/oclc/37801443","WorldCat Record")</f>
        <v>WorldCat Record</v>
      </c>
    </row>
    <row r="349" spans="1:46" ht="40.5" customHeight="1" x14ac:dyDescent="0.25">
      <c r="A349" s="8" t="s">
        <v>58</v>
      </c>
      <c r="B349" s="2" t="s">
        <v>2925</v>
      </c>
      <c r="C349" s="2" t="s">
        <v>2926</v>
      </c>
      <c r="D349" s="2" t="s">
        <v>2927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L349" s="2" t="s">
        <v>2928</v>
      </c>
      <c r="M349" s="3" t="s">
        <v>515</v>
      </c>
      <c r="O349" s="3" t="s">
        <v>64</v>
      </c>
      <c r="P349" s="3" t="s">
        <v>1355</v>
      </c>
      <c r="R349" s="3" t="s">
        <v>1346</v>
      </c>
      <c r="S349" s="4">
        <v>2</v>
      </c>
      <c r="T349" s="4">
        <v>2</v>
      </c>
      <c r="U349" s="5" t="s">
        <v>2929</v>
      </c>
      <c r="V349" s="5" t="s">
        <v>2929</v>
      </c>
      <c r="W349" s="5" t="s">
        <v>2918</v>
      </c>
      <c r="X349" s="5" t="s">
        <v>2918</v>
      </c>
      <c r="Y349" s="4">
        <v>147</v>
      </c>
      <c r="Z349" s="4">
        <v>118</v>
      </c>
      <c r="AA349" s="4">
        <v>143</v>
      </c>
      <c r="AB349" s="4">
        <v>2</v>
      </c>
      <c r="AC349" s="4">
        <v>2</v>
      </c>
      <c r="AD349" s="4">
        <v>4</v>
      </c>
      <c r="AE349" s="4">
        <v>5</v>
      </c>
      <c r="AF349" s="4">
        <v>1</v>
      </c>
      <c r="AG349" s="4">
        <v>2</v>
      </c>
      <c r="AH349" s="4">
        <v>0</v>
      </c>
      <c r="AI349" s="4">
        <v>0</v>
      </c>
      <c r="AJ349" s="4">
        <v>3</v>
      </c>
      <c r="AK349" s="4">
        <v>4</v>
      </c>
      <c r="AL349" s="4">
        <v>1</v>
      </c>
      <c r="AM349" s="4">
        <v>1</v>
      </c>
      <c r="AN349" s="4">
        <v>0</v>
      </c>
      <c r="AO349" s="4">
        <v>0</v>
      </c>
      <c r="AP349" s="3" t="s">
        <v>58</v>
      </c>
      <c r="AQ349" s="3" t="s">
        <v>115</v>
      </c>
      <c r="AR349" s="6" t="str">
        <f>HYPERLINK("http://catalog.hathitrust.org/Record/000666758","HathiTrust Record")</f>
        <v>HathiTrust Record</v>
      </c>
      <c r="AS349" s="6" t="str">
        <f>HYPERLINK("https://creighton-primo.hosted.exlibrisgroup.com/primo-explore/search?tab=default_tab&amp;search_scope=EVERYTHING&amp;vid=01CRU&amp;lang=en_US&amp;offset=0&amp;query=any,contains,991000957629702656","Catalog Record")</f>
        <v>Catalog Record</v>
      </c>
      <c r="AT349" s="6" t="str">
        <f>HYPERLINK("http://www.worldcat.org/oclc/13395345","WorldCat Record")</f>
        <v>WorldCat Record</v>
      </c>
    </row>
    <row r="350" spans="1:46" ht="40.5" customHeight="1" x14ac:dyDescent="0.25">
      <c r="A350" s="8" t="s">
        <v>58</v>
      </c>
      <c r="B350" s="2" t="s">
        <v>2930</v>
      </c>
      <c r="C350" s="2" t="s">
        <v>2931</v>
      </c>
      <c r="D350" s="2" t="s">
        <v>2932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2933</v>
      </c>
      <c r="L350" s="2" t="s">
        <v>2934</v>
      </c>
      <c r="M350" s="3" t="s">
        <v>468</v>
      </c>
      <c r="O350" s="3" t="s">
        <v>64</v>
      </c>
      <c r="P350" s="3" t="s">
        <v>190</v>
      </c>
      <c r="R350" s="3" t="s">
        <v>1346</v>
      </c>
      <c r="S350" s="4">
        <v>7</v>
      </c>
      <c r="T350" s="4">
        <v>7</v>
      </c>
      <c r="U350" s="5" t="s">
        <v>2935</v>
      </c>
      <c r="V350" s="5" t="s">
        <v>2935</v>
      </c>
      <c r="W350" s="5" t="s">
        <v>2936</v>
      </c>
      <c r="X350" s="5" t="s">
        <v>2936</v>
      </c>
      <c r="Y350" s="4">
        <v>305</v>
      </c>
      <c r="Z350" s="4">
        <v>193</v>
      </c>
      <c r="AA350" s="4">
        <v>291</v>
      </c>
      <c r="AB350" s="4">
        <v>1</v>
      </c>
      <c r="AC350" s="4">
        <v>1</v>
      </c>
      <c r="AD350" s="4">
        <v>4</v>
      </c>
      <c r="AE350" s="4">
        <v>7</v>
      </c>
      <c r="AF350" s="4">
        <v>1</v>
      </c>
      <c r="AG350" s="4">
        <v>3</v>
      </c>
      <c r="AH350" s="4">
        <v>3</v>
      </c>
      <c r="AI350" s="4">
        <v>4</v>
      </c>
      <c r="AJ350" s="4">
        <v>1</v>
      </c>
      <c r="AK350" s="4">
        <v>2</v>
      </c>
      <c r="AL350" s="4">
        <v>0</v>
      </c>
      <c r="AM350" s="4">
        <v>0</v>
      </c>
      <c r="AN350" s="4">
        <v>0</v>
      </c>
      <c r="AO350" s="4">
        <v>0</v>
      </c>
      <c r="AP350" s="3" t="s">
        <v>58</v>
      </c>
      <c r="AQ350" s="3" t="s">
        <v>58</v>
      </c>
      <c r="AS350" s="6" t="str">
        <f>HYPERLINK("https://creighton-primo.hosted.exlibrisgroup.com/primo-explore/search?tab=default_tab&amp;search_scope=EVERYTHING&amp;vid=01CRU&amp;lang=en_US&amp;offset=0&amp;query=any,contains,991000447319702656","Catalog Record")</f>
        <v>Catalog Record</v>
      </c>
      <c r="AT350" s="6" t="str">
        <f>HYPERLINK("http://www.worldcat.org/oclc/57254391","WorldCat Record")</f>
        <v>WorldCat Record</v>
      </c>
    </row>
    <row r="351" spans="1:46" ht="40.5" customHeight="1" x14ac:dyDescent="0.25">
      <c r="A351" s="8" t="s">
        <v>58</v>
      </c>
      <c r="B351" s="2" t="s">
        <v>2937</v>
      </c>
      <c r="C351" s="2" t="s">
        <v>2938</v>
      </c>
      <c r="D351" s="2" t="s">
        <v>2939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2940</v>
      </c>
      <c r="L351" s="2" t="s">
        <v>2941</v>
      </c>
      <c r="M351" s="3" t="s">
        <v>483</v>
      </c>
      <c r="O351" s="3" t="s">
        <v>64</v>
      </c>
      <c r="P351" s="3" t="s">
        <v>190</v>
      </c>
      <c r="Q351" s="2" t="s">
        <v>2942</v>
      </c>
      <c r="R351" s="3" t="s">
        <v>1346</v>
      </c>
      <c r="S351" s="4">
        <v>2</v>
      </c>
      <c r="T351" s="4">
        <v>2</v>
      </c>
      <c r="U351" s="5" t="s">
        <v>2943</v>
      </c>
      <c r="V351" s="5" t="s">
        <v>2943</v>
      </c>
      <c r="W351" s="5" t="s">
        <v>2918</v>
      </c>
      <c r="X351" s="5" t="s">
        <v>2918</v>
      </c>
      <c r="Y351" s="4">
        <v>270</v>
      </c>
      <c r="Z351" s="4">
        <v>164</v>
      </c>
      <c r="AA351" s="4">
        <v>274</v>
      </c>
      <c r="AB351" s="4">
        <v>1</v>
      </c>
      <c r="AC351" s="4">
        <v>1</v>
      </c>
      <c r="AD351" s="4">
        <v>4</v>
      </c>
      <c r="AE351" s="4">
        <v>9</v>
      </c>
      <c r="AF351" s="4">
        <v>1</v>
      </c>
      <c r="AG351" s="4">
        <v>3</v>
      </c>
      <c r="AH351" s="4">
        <v>2</v>
      </c>
      <c r="AI351" s="4">
        <v>4</v>
      </c>
      <c r="AJ351" s="4">
        <v>2</v>
      </c>
      <c r="AK351" s="4">
        <v>5</v>
      </c>
      <c r="AL351" s="4">
        <v>0</v>
      </c>
      <c r="AM351" s="4">
        <v>0</v>
      </c>
      <c r="AN351" s="4">
        <v>0</v>
      </c>
      <c r="AO351" s="4">
        <v>0</v>
      </c>
      <c r="AP351" s="3" t="s">
        <v>58</v>
      </c>
      <c r="AQ351" s="3" t="s">
        <v>58</v>
      </c>
      <c r="AS351" s="6" t="str">
        <f>HYPERLINK("https://creighton-primo.hosted.exlibrisgroup.com/primo-explore/search?tab=default_tab&amp;search_scope=EVERYTHING&amp;vid=01CRU&amp;lang=en_US&amp;offset=0&amp;query=any,contains,991000957669702656","Catalog Record")</f>
        <v>Catalog Record</v>
      </c>
      <c r="AT351" s="6" t="str">
        <f>HYPERLINK("http://www.worldcat.org/oclc/3843503","WorldCat Record")</f>
        <v>WorldCat Record</v>
      </c>
    </row>
    <row r="352" spans="1:46" ht="40.5" customHeight="1" x14ac:dyDescent="0.25">
      <c r="A352" s="8" t="s">
        <v>58</v>
      </c>
      <c r="B352" s="2" t="s">
        <v>2944</v>
      </c>
      <c r="C352" s="2" t="s">
        <v>2945</v>
      </c>
      <c r="D352" s="2" t="s">
        <v>2946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L352" s="2" t="s">
        <v>2947</v>
      </c>
      <c r="M352" s="3" t="s">
        <v>189</v>
      </c>
      <c r="N352" s="2" t="s">
        <v>143</v>
      </c>
      <c r="O352" s="3" t="s">
        <v>64</v>
      </c>
      <c r="P352" s="3" t="s">
        <v>1355</v>
      </c>
      <c r="R352" s="3" t="s">
        <v>1346</v>
      </c>
      <c r="S352" s="4">
        <v>11</v>
      </c>
      <c r="T352" s="4">
        <v>11</v>
      </c>
      <c r="U352" s="5" t="s">
        <v>2948</v>
      </c>
      <c r="V352" s="5" t="s">
        <v>2948</v>
      </c>
      <c r="W352" s="5" t="s">
        <v>2949</v>
      </c>
      <c r="X352" s="5" t="s">
        <v>2949</v>
      </c>
      <c r="Y352" s="4">
        <v>151</v>
      </c>
      <c r="Z352" s="4">
        <v>98</v>
      </c>
      <c r="AA352" s="4">
        <v>100</v>
      </c>
      <c r="AB352" s="4">
        <v>1</v>
      </c>
      <c r="AC352" s="4">
        <v>1</v>
      </c>
      <c r="AD352" s="4">
        <v>5</v>
      </c>
      <c r="AE352" s="4">
        <v>5</v>
      </c>
      <c r="AF352" s="4">
        <v>2</v>
      </c>
      <c r="AG352" s="4">
        <v>2</v>
      </c>
      <c r="AH352" s="4">
        <v>2</v>
      </c>
      <c r="AI352" s="4">
        <v>2</v>
      </c>
      <c r="AJ352" s="4">
        <v>1</v>
      </c>
      <c r="AK352" s="4">
        <v>1</v>
      </c>
      <c r="AL352" s="4">
        <v>0</v>
      </c>
      <c r="AM352" s="4">
        <v>0</v>
      </c>
      <c r="AN352" s="4">
        <v>0</v>
      </c>
      <c r="AO352" s="4">
        <v>0</v>
      </c>
      <c r="AP352" s="3" t="s">
        <v>58</v>
      </c>
      <c r="AQ352" s="3" t="s">
        <v>115</v>
      </c>
      <c r="AR352" s="6" t="str">
        <f>HYPERLINK("http://catalog.hathitrust.org/Record/002501401","HathiTrust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HYPERLINK("https://creighton-primo.hosted.exlibrisgroup.com/primo-explore/search?tab=default_tab&amp;search_scope=EVERYTHING&amp;vid=01CRU&amp;lang=en_US&amp;offset=0&amp;query=any,contains,991001031639702656","Catalog Record")</f>
        <v>Catalog Record</v>
      </c>
      <c r="AT352" s="6" t="str">
        <f>HYPERLINK("http://www.worldcat.org/oclc/24246648","WorldCat Record")</f>
        <v>WorldCat Record</v>
      </c>
    </row>
    <row r="353" spans="1:46" ht="40.5" customHeight="1" x14ac:dyDescent="0.25">
      <c r="A353" s="8" t="s">
        <v>58</v>
      </c>
      <c r="B353" s="2" t="s">
        <v>2950</v>
      </c>
      <c r="C353" s="2" t="s">
        <v>2951</v>
      </c>
      <c r="D353" s="2" t="s">
        <v>2952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K353" s="2" t="s">
        <v>2953</v>
      </c>
      <c r="L353" s="2" t="s">
        <v>2954</v>
      </c>
      <c r="M353" s="3" t="s">
        <v>1702</v>
      </c>
      <c r="O353" s="3" t="s">
        <v>64</v>
      </c>
      <c r="P353" s="3" t="s">
        <v>65</v>
      </c>
      <c r="R353" s="3" t="s">
        <v>1346</v>
      </c>
      <c r="S353" s="4">
        <v>9</v>
      </c>
      <c r="T353" s="4">
        <v>9</v>
      </c>
      <c r="U353" s="5" t="s">
        <v>2955</v>
      </c>
      <c r="V353" s="5" t="s">
        <v>2955</v>
      </c>
      <c r="W353" s="5" t="s">
        <v>2918</v>
      </c>
      <c r="X353" s="5" t="s">
        <v>2918</v>
      </c>
      <c r="Y353" s="4">
        <v>188</v>
      </c>
      <c r="Z353" s="4">
        <v>134</v>
      </c>
      <c r="AA353" s="4">
        <v>136</v>
      </c>
      <c r="AB353" s="4">
        <v>3</v>
      </c>
      <c r="AC353" s="4">
        <v>3</v>
      </c>
      <c r="AD353" s="4">
        <v>4</v>
      </c>
      <c r="AE353" s="4">
        <v>4</v>
      </c>
      <c r="AF353" s="4">
        <v>1</v>
      </c>
      <c r="AG353" s="4">
        <v>1</v>
      </c>
      <c r="AH353" s="4">
        <v>1</v>
      </c>
      <c r="AI353" s="4">
        <v>1</v>
      </c>
      <c r="AJ353" s="4">
        <v>0</v>
      </c>
      <c r="AK353" s="4">
        <v>0</v>
      </c>
      <c r="AL353" s="4">
        <v>2</v>
      </c>
      <c r="AM353" s="4">
        <v>2</v>
      </c>
      <c r="AN353" s="4">
        <v>0</v>
      </c>
      <c r="AO353" s="4">
        <v>0</v>
      </c>
      <c r="AP353" s="3" t="s">
        <v>58</v>
      </c>
      <c r="AQ353" s="3" t="s">
        <v>115</v>
      </c>
      <c r="AR353" s="6" t="str">
        <f>HYPERLINK("http://catalog.hathitrust.org/Record/000694067","HathiTrust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HYPERLINK("https://creighton-primo.hosted.exlibrisgroup.com/primo-explore/search?tab=default_tab&amp;search_scope=EVERYTHING&amp;vid=01CRU&amp;lang=en_US&amp;offset=0&amp;query=any,contains,991000957709702656","Catalog Record")</f>
        <v>Catalog Record</v>
      </c>
      <c r="AT353" s="6" t="str">
        <f>HYPERLINK("http://www.worldcat.org/oclc/1992083","WorldCat Record")</f>
        <v>WorldCat Record</v>
      </c>
    </row>
    <row r="354" spans="1:46" ht="40.5" customHeight="1" x14ac:dyDescent="0.25">
      <c r="A354" s="8" t="s">
        <v>58</v>
      </c>
      <c r="B354" s="2" t="s">
        <v>2956</v>
      </c>
      <c r="C354" s="2" t="s">
        <v>2957</v>
      </c>
      <c r="D354" s="2" t="s">
        <v>2958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L354" s="2" t="s">
        <v>2959</v>
      </c>
      <c r="M354" s="3" t="s">
        <v>142</v>
      </c>
      <c r="O354" s="3" t="s">
        <v>64</v>
      </c>
      <c r="P354" s="3" t="s">
        <v>112</v>
      </c>
      <c r="Q354" s="2" t="s">
        <v>2960</v>
      </c>
      <c r="R354" s="3" t="s">
        <v>1346</v>
      </c>
      <c r="S354" s="4">
        <v>8</v>
      </c>
      <c r="T354" s="4">
        <v>8</v>
      </c>
      <c r="U354" s="5" t="s">
        <v>2929</v>
      </c>
      <c r="V354" s="5" t="s">
        <v>2929</v>
      </c>
      <c r="W354" s="5" t="s">
        <v>2911</v>
      </c>
      <c r="X354" s="5" t="s">
        <v>2911</v>
      </c>
      <c r="Y354" s="4">
        <v>133</v>
      </c>
      <c r="Z354" s="4">
        <v>98</v>
      </c>
      <c r="AA354" s="4">
        <v>102</v>
      </c>
      <c r="AB354" s="4">
        <v>1</v>
      </c>
      <c r="AC354" s="4">
        <v>1</v>
      </c>
      <c r="AD354" s="4">
        <v>5</v>
      </c>
      <c r="AE354" s="4">
        <v>5</v>
      </c>
      <c r="AF354" s="4">
        <v>0</v>
      </c>
      <c r="AG354" s="4">
        <v>0</v>
      </c>
      <c r="AH354" s="4">
        <v>1</v>
      </c>
      <c r="AI354" s="4">
        <v>1</v>
      </c>
      <c r="AJ354" s="4">
        <v>4</v>
      </c>
      <c r="AK354" s="4">
        <v>4</v>
      </c>
      <c r="AL354" s="4">
        <v>0</v>
      </c>
      <c r="AM354" s="4">
        <v>0</v>
      </c>
      <c r="AN354" s="4">
        <v>0</v>
      </c>
      <c r="AO354" s="4">
        <v>0</v>
      </c>
      <c r="AP354" s="3" t="s">
        <v>58</v>
      </c>
      <c r="AQ354" s="3" t="s">
        <v>115</v>
      </c>
      <c r="AR354" s="6" t="str">
        <f>HYPERLINK("http://catalog.hathitrust.org/Record/002528875","HathiTrust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HYPERLINK("https://creighton-primo.hosted.exlibrisgroup.com/primo-explore/search?tab=default_tab&amp;search_scope=EVERYTHING&amp;vid=01CRU&amp;lang=en_US&amp;offset=0&amp;query=any,contains,991001304649702656","Catalog Record")</f>
        <v>Catalog Record</v>
      </c>
      <c r="AT354" s="6" t="str">
        <f>HYPERLINK("http://www.worldcat.org/oclc/27435100","WorldCat Record")</f>
        <v>WorldCat Record</v>
      </c>
    </row>
    <row r="355" spans="1:46" ht="40.5" customHeight="1" x14ac:dyDescent="0.25">
      <c r="A355" s="8" t="s">
        <v>58</v>
      </c>
      <c r="B355" s="2" t="s">
        <v>2961</v>
      </c>
      <c r="C355" s="2" t="s">
        <v>2962</v>
      </c>
      <c r="D355" s="2" t="s">
        <v>2963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2964</v>
      </c>
      <c r="L355" s="2" t="s">
        <v>2965</v>
      </c>
      <c r="M355" s="3" t="s">
        <v>1392</v>
      </c>
      <c r="O355" s="3" t="s">
        <v>64</v>
      </c>
      <c r="P355" s="3" t="s">
        <v>1355</v>
      </c>
      <c r="R355" s="3" t="s">
        <v>1346</v>
      </c>
      <c r="S355" s="4">
        <v>7</v>
      </c>
      <c r="T355" s="4">
        <v>7</v>
      </c>
      <c r="U355" s="5" t="s">
        <v>2966</v>
      </c>
      <c r="V355" s="5" t="s">
        <v>2966</v>
      </c>
      <c r="W355" s="5" t="s">
        <v>2918</v>
      </c>
      <c r="X355" s="5" t="s">
        <v>2918</v>
      </c>
      <c r="Y355" s="4">
        <v>264</v>
      </c>
      <c r="Z355" s="4">
        <v>227</v>
      </c>
      <c r="AA355" s="4">
        <v>233</v>
      </c>
      <c r="AB355" s="4">
        <v>2</v>
      </c>
      <c r="AC355" s="4">
        <v>2</v>
      </c>
      <c r="AD355" s="4">
        <v>7</v>
      </c>
      <c r="AE355" s="4">
        <v>7</v>
      </c>
      <c r="AF355" s="4">
        <v>2</v>
      </c>
      <c r="AG355" s="4">
        <v>2</v>
      </c>
      <c r="AH355" s="4">
        <v>2</v>
      </c>
      <c r="AI355" s="4">
        <v>2</v>
      </c>
      <c r="AJ355" s="4">
        <v>4</v>
      </c>
      <c r="AK355" s="4">
        <v>4</v>
      </c>
      <c r="AL355" s="4">
        <v>1</v>
      </c>
      <c r="AM355" s="4">
        <v>1</v>
      </c>
      <c r="AN355" s="4">
        <v>0</v>
      </c>
      <c r="AO355" s="4">
        <v>0</v>
      </c>
      <c r="AP355" s="3" t="s">
        <v>58</v>
      </c>
      <c r="AQ355" s="3" t="s">
        <v>115</v>
      </c>
      <c r="AR355" s="6" t="str">
        <f>HYPERLINK("http://catalog.hathitrust.org/Record/000162117","HathiTrust Record")</f>
        <v>HathiTrust Record</v>
      </c>
      <c r="AS355" s="6" t="str">
        <f>HYPERLINK("https://creighton-primo.hosted.exlibrisgroup.com/primo-explore/search?tab=default_tab&amp;search_scope=EVERYTHING&amp;vid=01CRU&amp;lang=en_US&amp;offset=0&amp;query=any,contains,991000957749702656","Catalog Record")</f>
        <v>Catalog Record</v>
      </c>
      <c r="AT355" s="6" t="str">
        <f>HYPERLINK("http://www.worldcat.org/oclc/8952110","WorldCat Record")</f>
        <v>WorldCat Record</v>
      </c>
    </row>
    <row r="356" spans="1:46" ht="40.5" customHeight="1" x14ac:dyDescent="0.25">
      <c r="A356" s="8" t="s">
        <v>58</v>
      </c>
      <c r="B356" s="2" t="s">
        <v>2967</v>
      </c>
      <c r="C356" s="2" t="s">
        <v>2968</v>
      </c>
      <c r="D356" s="2" t="s">
        <v>2969</v>
      </c>
      <c r="F356" s="3" t="s">
        <v>58</v>
      </c>
      <c r="G356" s="3" t="s">
        <v>59</v>
      </c>
      <c r="H356" s="3" t="s">
        <v>58</v>
      </c>
      <c r="I356" s="3" t="s">
        <v>115</v>
      </c>
      <c r="J356" s="3" t="s">
        <v>60</v>
      </c>
      <c r="K356" s="2" t="s">
        <v>2970</v>
      </c>
      <c r="L356" s="2" t="s">
        <v>2971</v>
      </c>
      <c r="M356" s="3" t="s">
        <v>142</v>
      </c>
      <c r="N356" s="2" t="s">
        <v>1354</v>
      </c>
      <c r="O356" s="3" t="s">
        <v>64</v>
      </c>
      <c r="P356" s="3" t="s">
        <v>65</v>
      </c>
      <c r="R356" s="3" t="s">
        <v>1346</v>
      </c>
      <c r="S356" s="4">
        <v>2</v>
      </c>
      <c r="T356" s="4">
        <v>2</v>
      </c>
      <c r="U356" s="5" t="s">
        <v>2972</v>
      </c>
      <c r="V356" s="5" t="s">
        <v>2972</v>
      </c>
      <c r="W356" s="5" t="s">
        <v>2973</v>
      </c>
      <c r="X356" s="5" t="s">
        <v>2973</v>
      </c>
      <c r="Y356" s="4">
        <v>480</v>
      </c>
      <c r="Z356" s="4">
        <v>356</v>
      </c>
      <c r="AA356" s="4">
        <v>1061</v>
      </c>
      <c r="AB356" s="4">
        <v>4</v>
      </c>
      <c r="AC356" s="4">
        <v>14</v>
      </c>
      <c r="AD356" s="4">
        <v>20</v>
      </c>
      <c r="AE356" s="4">
        <v>51</v>
      </c>
      <c r="AF356" s="4">
        <v>7</v>
      </c>
      <c r="AG356" s="4">
        <v>19</v>
      </c>
      <c r="AH356" s="4">
        <v>6</v>
      </c>
      <c r="AI356" s="4">
        <v>12</v>
      </c>
      <c r="AJ356" s="4">
        <v>10</v>
      </c>
      <c r="AK356" s="4">
        <v>22</v>
      </c>
      <c r="AL356" s="4">
        <v>3</v>
      </c>
      <c r="AM356" s="4">
        <v>9</v>
      </c>
      <c r="AN356" s="4">
        <v>0</v>
      </c>
      <c r="AO356" s="4">
        <v>0</v>
      </c>
      <c r="AP356" s="3" t="s">
        <v>58</v>
      </c>
      <c r="AQ356" s="3" t="s">
        <v>115</v>
      </c>
      <c r="AR356" s="6" t="str">
        <f>HYPERLINK("http://catalog.hathitrust.org/Record/002480197","HathiTrust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HYPERLINK("https://creighton-primo.hosted.exlibrisgroup.com/primo-explore/search?tab=default_tab&amp;search_scope=EVERYTHING&amp;vid=01CRU&amp;lang=en_US&amp;offset=0&amp;query=any,contains,991001023399702656","Catalog Record")</f>
        <v>Catalog Record</v>
      </c>
      <c r="AT356" s="6" t="str">
        <f>HYPERLINK("http://www.worldcat.org/oclc/22983425","WorldCat Record")</f>
        <v>WorldCat Record</v>
      </c>
    </row>
    <row r="357" spans="1:46" ht="40.5" customHeight="1" x14ac:dyDescent="0.25">
      <c r="A357" s="8" t="s">
        <v>58</v>
      </c>
      <c r="B357" s="2" t="s">
        <v>2974</v>
      </c>
      <c r="C357" s="2" t="s">
        <v>2975</v>
      </c>
      <c r="D357" s="2" t="s">
        <v>2976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2977</v>
      </c>
      <c r="L357" s="2" t="s">
        <v>2978</v>
      </c>
      <c r="M357" s="3" t="s">
        <v>1122</v>
      </c>
      <c r="O357" s="3" t="s">
        <v>64</v>
      </c>
      <c r="P357" s="3" t="s">
        <v>1355</v>
      </c>
      <c r="R357" s="3" t="s">
        <v>1346</v>
      </c>
      <c r="S357" s="4">
        <v>8</v>
      </c>
      <c r="T357" s="4">
        <v>8</v>
      </c>
      <c r="U357" s="5" t="s">
        <v>2979</v>
      </c>
      <c r="V357" s="5" t="s">
        <v>2979</v>
      </c>
      <c r="W357" s="5" t="s">
        <v>1676</v>
      </c>
      <c r="X357" s="5" t="s">
        <v>1676</v>
      </c>
      <c r="Y357" s="4">
        <v>102</v>
      </c>
      <c r="Z357" s="4">
        <v>78</v>
      </c>
      <c r="AA357" s="4">
        <v>80</v>
      </c>
      <c r="AB357" s="4">
        <v>1</v>
      </c>
      <c r="AC357" s="4">
        <v>1</v>
      </c>
      <c r="AD357" s="4">
        <v>5</v>
      </c>
      <c r="AE357" s="4">
        <v>5</v>
      </c>
      <c r="AF357" s="4">
        <v>2</v>
      </c>
      <c r="AG357" s="4">
        <v>2</v>
      </c>
      <c r="AH357" s="4">
        <v>1</v>
      </c>
      <c r="AI357" s="4">
        <v>1</v>
      </c>
      <c r="AJ357" s="4">
        <v>2</v>
      </c>
      <c r="AK357" s="4">
        <v>2</v>
      </c>
      <c r="AL357" s="4">
        <v>0</v>
      </c>
      <c r="AM357" s="4">
        <v>0</v>
      </c>
      <c r="AN357" s="4">
        <v>0</v>
      </c>
      <c r="AO357" s="4">
        <v>0</v>
      </c>
      <c r="AP357" s="3" t="s">
        <v>58</v>
      </c>
      <c r="AQ357" s="3" t="s">
        <v>115</v>
      </c>
      <c r="AR357" s="6" t="str">
        <f>HYPERLINK("http://catalog.hathitrust.org/Record/001942707","HathiTrust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HYPERLINK("https://creighton-primo.hosted.exlibrisgroup.com/primo-explore/search?tab=default_tab&amp;search_scope=EVERYTHING&amp;vid=01CRU&amp;lang=en_US&amp;offset=0&amp;query=any,contains,991001453539702656","Catalog Record")</f>
        <v>Catalog Record</v>
      </c>
      <c r="AT357" s="6" t="str">
        <f>HYPERLINK("http://www.worldcat.org/oclc/19847368","WorldCat Record")</f>
        <v>WorldCat Record</v>
      </c>
    </row>
    <row r="358" spans="1:46" ht="40.5" customHeight="1" x14ac:dyDescent="0.25">
      <c r="A358" s="8" t="s">
        <v>58</v>
      </c>
      <c r="B358" s="2" t="s">
        <v>2980</v>
      </c>
      <c r="C358" s="2" t="s">
        <v>2981</v>
      </c>
      <c r="D358" s="2" t="s">
        <v>2982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L358" s="2" t="s">
        <v>2983</v>
      </c>
      <c r="M358" s="3" t="s">
        <v>408</v>
      </c>
      <c r="O358" s="3" t="s">
        <v>64</v>
      </c>
      <c r="P358" s="3" t="s">
        <v>1355</v>
      </c>
      <c r="Q358" s="2" t="s">
        <v>2984</v>
      </c>
      <c r="R358" s="3" t="s">
        <v>1346</v>
      </c>
      <c r="S358" s="4">
        <v>5</v>
      </c>
      <c r="T358" s="4">
        <v>5</v>
      </c>
      <c r="U358" s="5" t="s">
        <v>2985</v>
      </c>
      <c r="V358" s="5" t="s">
        <v>2985</v>
      </c>
      <c r="W358" s="5" t="s">
        <v>2918</v>
      </c>
      <c r="X358" s="5" t="s">
        <v>2918</v>
      </c>
      <c r="Y358" s="4">
        <v>151</v>
      </c>
      <c r="Z358" s="4">
        <v>106</v>
      </c>
      <c r="AA358" s="4">
        <v>108</v>
      </c>
      <c r="AB358" s="4">
        <v>1</v>
      </c>
      <c r="AC358" s="4">
        <v>1</v>
      </c>
      <c r="AD358" s="4">
        <v>3</v>
      </c>
      <c r="AE358" s="4">
        <v>3</v>
      </c>
      <c r="AF358" s="4">
        <v>1</v>
      </c>
      <c r="AG358" s="4">
        <v>1</v>
      </c>
      <c r="AH358" s="4">
        <v>2</v>
      </c>
      <c r="AI358" s="4">
        <v>2</v>
      </c>
      <c r="AJ358" s="4">
        <v>1</v>
      </c>
      <c r="AK358" s="4">
        <v>1</v>
      </c>
      <c r="AL358" s="4">
        <v>0</v>
      </c>
      <c r="AM358" s="4">
        <v>0</v>
      </c>
      <c r="AN358" s="4">
        <v>0</v>
      </c>
      <c r="AO358" s="4">
        <v>0</v>
      </c>
      <c r="AP358" s="3" t="s">
        <v>58</v>
      </c>
      <c r="AQ358" s="3" t="s">
        <v>115</v>
      </c>
      <c r="AR358" s="6" t="str">
        <f>HYPERLINK("http://catalog.hathitrust.org/Record/000459996","HathiTrust Record")</f>
        <v>HathiTrust Record</v>
      </c>
      <c r="AS358" s="6" t="str">
        <f>HYPERLINK("https://creighton-primo.hosted.exlibrisgroup.com/primo-explore/search?tab=default_tab&amp;search_scope=EVERYTHING&amp;vid=01CRU&amp;lang=en_US&amp;offset=0&amp;query=any,contains,991000957789702656","Catalog Record")</f>
        <v>Catalog Record</v>
      </c>
      <c r="AT358" s="6" t="str">
        <f>HYPERLINK("http://www.worldcat.org/oclc/11518064","WorldCat Record")</f>
        <v>WorldCat Record</v>
      </c>
    </row>
    <row r="359" spans="1:46" ht="40.5" customHeight="1" x14ac:dyDescent="0.25">
      <c r="A359" s="8" t="s">
        <v>58</v>
      </c>
      <c r="B359" s="2" t="s">
        <v>2986</v>
      </c>
      <c r="C359" s="2" t="s">
        <v>2987</v>
      </c>
      <c r="D359" s="2" t="s">
        <v>2988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L359" s="2" t="s">
        <v>2989</v>
      </c>
      <c r="M359" s="3" t="s">
        <v>483</v>
      </c>
      <c r="O359" s="3" t="s">
        <v>64</v>
      </c>
      <c r="P359" s="3" t="s">
        <v>65</v>
      </c>
      <c r="R359" s="3" t="s">
        <v>1346</v>
      </c>
      <c r="S359" s="4">
        <v>4</v>
      </c>
      <c r="T359" s="4">
        <v>4</v>
      </c>
      <c r="U359" s="5" t="s">
        <v>2838</v>
      </c>
      <c r="V359" s="5" t="s">
        <v>2838</v>
      </c>
      <c r="W359" s="5" t="s">
        <v>2918</v>
      </c>
      <c r="X359" s="5" t="s">
        <v>2918</v>
      </c>
      <c r="Y359" s="4">
        <v>104</v>
      </c>
      <c r="Z359" s="4">
        <v>71</v>
      </c>
      <c r="AA359" s="4">
        <v>102</v>
      </c>
      <c r="AB359" s="4">
        <v>1</v>
      </c>
      <c r="AC359" s="4">
        <v>1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3" t="s">
        <v>58</v>
      </c>
      <c r="AQ359" s="3" t="s">
        <v>115</v>
      </c>
      <c r="AR359" s="6" t="str">
        <f>HYPERLINK("http://catalog.hathitrust.org/Record/000300845","HathiTrust Record")</f>
        <v>HathiTrust Record</v>
      </c>
      <c r="AS359" s="6" t="str">
        <f>HYPERLINK("https://creighton-primo.hosted.exlibrisgroup.com/primo-explore/search?tab=default_tab&amp;search_scope=EVERYTHING&amp;vid=01CRU&amp;lang=en_US&amp;offset=0&amp;query=any,contains,991000957829702656","Catalog Record")</f>
        <v>Catalog Record</v>
      </c>
      <c r="AT359" s="6" t="str">
        <f>HYPERLINK("http://www.worldcat.org/oclc/4933187","WorldCat Record")</f>
        <v>WorldCat Record</v>
      </c>
    </row>
    <row r="360" spans="1:46" ht="40.5" customHeight="1" x14ac:dyDescent="0.25">
      <c r="A360" s="8" t="s">
        <v>58</v>
      </c>
      <c r="B360" s="2" t="s">
        <v>2990</v>
      </c>
      <c r="C360" s="2" t="s">
        <v>2991</v>
      </c>
      <c r="D360" s="2" t="s">
        <v>2992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K360" s="2" t="s">
        <v>696</v>
      </c>
      <c r="L360" s="2" t="s">
        <v>2400</v>
      </c>
      <c r="M360" s="3" t="s">
        <v>1122</v>
      </c>
      <c r="N360" s="2" t="s">
        <v>936</v>
      </c>
      <c r="O360" s="3" t="s">
        <v>64</v>
      </c>
      <c r="P360" s="3" t="s">
        <v>1355</v>
      </c>
      <c r="R360" s="3" t="s">
        <v>1346</v>
      </c>
      <c r="S360" s="4">
        <v>9</v>
      </c>
      <c r="T360" s="4">
        <v>9</v>
      </c>
      <c r="U360" s="5" t="s">
        <v>2993</v>
      </c>
      <c r="V360" s="5" t="s">
        <v>2993</v>
      </c>
      <c r="W360" s="5" t="s">
        <v>1676</v>
      </c>
      <c r="X360" s="5" t="s">
        <v>1676</v>
      </c>
      <c r="Y360" s="4">
        <v>164</v>
      </c>
      <c r="Z360" s="4">
        <v>112</v>
      </c>
      <c r="AA360" s="4">
        <v>211</v>
      </c>
      <c r="AB360" s="4">
        <v>1</v>
      </c>
      <c r="AC360" s="4">
        <v>1</v>
      </c>
      <c r="AD360" s="4">
        <v>6</v>
      </c>
      <c r="AE360" s="4">
        <v>7</v>
      </c>
      <c r="AF360" s="4">
        <v>3</v>
      </c>
      <c r="AG360" s="4">
        <v>3</v>
      </c>
      <c r="AH360" s="4">
        <v>1</v>
      </c>
      <c r="AI360" s="4">
        <v>1</v>
      </c>
      <c r="AJ360" s="4">
        <v>2</v>
      </c>
      <c r="AK360" s="4">
        <v>3</v>
      </c>
      <c r="AL360" s="4">
        <v>0</v>
      </c>
      <c r="AM360" s="4">
        <v>0</v>
      </c>
      <c r="AN360" s="4">
        <v>0</v>
      </c>
      <c r="AO360" s="4">
        <v>0</v>
      </c>
      <c r="AP360" s="3" t="s">
        <v>58</v>
      </c>
      <c r="AQ360" s="3" t="s">
        <v>115</v>
      </c>
      <c r="AR360" s="6" t="str">
        <f>HYPERLINK("http://catalog.hathitrust.org/Record/001842658","HathiTrust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HYPERLINK("https://creighton-primo.hosted.exlibrisgroup.com/primo-explore/search?tab=default_tab&amp;search_scope=EVERYTHING&amp;vid=01CRU&amp;lang=en_US&amp;offset=0&amp;query=any,contains,991001453609702656","Catalog Record")</f>
        <v>Catalog Record</v>
      </c>
      <c r="AT360" s="6" t="str">
        <f>HYPERLINK("http://www.worldcat.org/oclc/20318620","WorldCat Record")</f>
        <v>WorldCat Record</v>
      </c>
    </row>
    <row r="361" spans="1:46" ht="40.5" customHeight="1" x14ac:dyDescent="0.25">
      <c r="A361" s="8" t="s">
        <v>58</v>
      </c>
      <c r="B361" s="2" t="s">
        <v>2994</v>
      </c>
      <c r="C361" s="2" t="s">
        <v>2995</v>
      </c>
      <c r="D361" s="2" t="s">
        <v>2996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K361" s="2" t="s">
        <v>709</v>
      </c>
      <c r="L361" s="2" t="s">
        <v>2997</v>
      </c>
      <c r="M361" s="3" t="s">
        <v>189</v>
      </c>
      <c r="N361" s="2" t="s">
        <v>1354</v>
      </c>
      <c r="O361" s="3" t="s">
        <v>64</v>
      </c>
      <c r="P361" s="3" t="s">
        <v>65</v>
      </c>
      <c r="R361" s="3" t="s">
        <v>1346</v>
      </c>
      <c r="S361" s="4">
        <v>2</v>
      </c>
      <c r="T361" s="4">
        <v>2</v>
      </c>
      <c r="U361" s="5" t="s">
        <v>2979</v>
      </c>
      <c r="V361" s="5" t="s">
        <v>2979</v>
      </c>
      <c r="W361" s="5" t="s">
        <v>2082</v>
      </c>
      <c r="X361" s="5" t="s">
        <v>2082</v>
      </c>
      <c r="Y361" s="4">
        <v>190</v>
      </c>
      <c r="Z361" s="4">
        <v>133</v>
      </c>
      <c r="AA361" s="4">
        <v>663</v>
      </c>
      <c r="AB361" s="4">
        <v>1</v>
      </c>
      <c r="AC361" s="4">
        <v>1</v>
      </c>
      <c r="AD361" s="4">
        <v>7</v>
      </c>
      <c r="AE361" s="4">
        <v>16</v>
      </c>
      <c r="AF361" s="4">
        <v>3</v>
      </c>
      <c r="AG361" s="4">
        <v>8</v>
      </c>
      <c r="AH361" s="4">
        <v>2</v>
      </c>
      <c r="AI361" s="4">
        <v>6</v>
      </c>
      <c r="AJ361" s="4">
        <v>2</v>
      </c>
      <c r="AK361" s="4">
        <v>6</v>
      </c>
      <c r="AL361" s="4">
        <v>0</v>
      </c>
      <c r="AM361" s="4">
        <v>0</v>
      </c>
      <c r="AN361" s="4">
        <v>0</v>
      </c>
      <c r="AO361" s="4">
        <v>0</v>
      </c>
      <c r="AP361" s="3" t="s">
        <v>58</v>
      </c>
      <c r="AQ361" s="3" t="s">
        <v>58</v>
      </c>
      <c r="AS361" s="6" t="str">
        <f>HYPERLINK("https://creighton-primo.hosted.exlibrisgroup.com/primo-explore/search?tab=default_tab&amp;search_scope=EVERYTHING&amp;vid=01CRU&amp;lang=en_US&amp;offset=0&amp;query=any,contains,991001131009702656","Catalog Record")</f>
        <v>Catalog Record</v>
      </c>
      <c r="AT361" s="6" t="str">
        <f>HYPERLINK("http://www.worldcat.org/oclc/23732173","WorldCat Record")</f>
        <v>WorldCat Record</v>
      </c>
    </row>
    <row r="362" spans="1:46" ht="40.5" customHeight="1" x14ac:dyDescent="0.25">
      <c r="A362" s="8" t="s">
        <v>58</v>
      </c>
      <c r="B362" s="2" t="s">
        <v>2998</v>
      </c>
      <c r="C362" s="2" t="s">
        <v>2999</v>
      </c>
      <c r="D362" s="2" t="s">
        <v>3000</v>
      </c>
      <c r="F362" s="3" t="s">
        <v>58</v>
      </c>
      <c r="G362" s="3" t="s">
        <v>59</v>
      </c>
      <c r="H362" s="3" t="s">
        <v>58</v>
      </c>
      <c r="I362" s="3" t="s">
        <v>115</v>
      </c>
      <c r="J362" s="3" t="s">
        <v>60</v>
      </c>
      <c r="K362" s="2" t="s">
        <v>3001</v>
      </c>
      <c r="L362" s="2" t="s">
        <v>3002</v>
      </c>
      <c r="M362" s="3" t="s">
        <v>380</v>
      </c>
      <c r="O362" s="3" t="s">
        <v>64</v>
      </c>
      <c r="P362" s="3" t="s">
        <v>1406</v>
      </c>
      <c r="R362" s="3" t="s">
        <v>1346</v>
      </c>
      <c r="S362" s="4">
        <v>7</v>
      </c>
      <c r="T362" s="4">
        <v>7</v>
      </c>
      <c r="U362" s="5" t="s">
        <v>3003</v>
      </c>
      <c r="V362" s="5" t="s">
        <v>3003</v>
      </c>
      <c r="W362" s="5" t="s">
        <v>3003</v>
      </c>
      <c r="X362" s="5" t="s">
        <v>3003</v>
      </c>
      <c r="Y362" s="4">
        <v>207</v>
      </c>
      <c r="Z362" s="4">
        <v>176</v>
      </c>
      <c r="AA362" s="4">
        <v>535</v>
      </c>
      <c r="AB362" s="4">
        <v>2</v>
      </c>
      <c r="AC362" s="4">
        <v>2</v>
      </c>
      <c r="AD362" s="4">
        <v>7</v>
      </c>
      <c r="AE362" s="4">
        <v>22</v>
      </c>
      <c r="AF362" s="4">
        <v>3</v>
      </c>
      <c r="AG362" s="4">
        <v>12</v>
      </c>
      <c r="AH362" s="4">
        <v>1</v>
      </c>
      <c r="AI362" s="4">
        <v>4</v>
      </c>
      <c r="AJ362" s="4">
        <v>4</v>
      </c>
      <c r="AK362" s="4">
        <v>12</v>
      </c>
      <c r="AL362" s="4">
        <v>0</v>
      </c>
      <c r="AM362" s="4">
        <v>0</v>
      </c>
      <c r="AN362" s="4">
        <v>0</v>
      </c>
      <c r="AO362" s="4">
        <v>0</v>
      </c>
      <c r="AP362" s="3" t="s">
        <v>58</v>
      </c>
      <c r="AQ362" s="3" t="s">
        <v>115</v>
      </c>
      <c r="AR362" s="6" t="str">
        <f>HYPERLINK("http://catalog.hathitrust.org/Record/002630887","HathiTrust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HYPERLINK("https://creighton-primo.hosted.exlibrisgroup.com/primo-explore/search?tab=default_tab&amp;search_scope=EVERYTHING&amp;vid=01CRU&amp;lang=en_US&amp;offset=0&amp;query=any,contains,991000674619702656","Catalog Record")</f>
        <v>Catalog Record</v>
      </c>
      <c r="AT362" s="6" t="str">
        <f>HYPERLINK("http://www.worldcat.org/oclc/27311142","WorldCat Record")</f>
        <v>WorldCat Record</v>
      </c>
    </row>
    <row r="363" spans="1:46" ht="40.5" customHeight="1" x14ac:dyDescent="0.25">
      <c r="A363" s="8" t="s">
        <v>58</v>
      </c>
      <c r="B363" s="2" t="s">
        <v>3004</v>
      </c>
      <c r="C363" s="2" t="s">
        <v>3005</v>
      </c>
      <c r="D363" s="2" t="s">
        <v>3006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3007</v>
      </c>
      <c r="L363" s="2" t="s">
        <v>3008</v>
      </c>
      <c r="M363" s="3" t="s">
        <v>1392</v>
      </c>
      <c r="O363" s="3" t="s">
        <v>64</v>
      </c>
      <c r="P363" s="3" t="s">
        <v>3009</v>
      </c>
      <c r="Q363" s="2" t="s">
        <v>3010</v>
      </c>
      <c r="R363" s="3" t="s">
        <v>1346</v>
      </c>
      <c r="S363" s="4">
        <v>5</v>
      </c>
      <c r="T363" s="4">
        <v>5</v>
      </c>
      <c r="U363" s="5" t="s">
        <v>3011</v>
      </c>
      <c r="V363" s="5" t="s">
        <v>3011</v>
      </c>
      <c r="W363" s="5" t="s">
        <v>3011</v>
      </c>
      <c r="X363" s="5" t="s">
        <v>3011</v>
      </c>
      <c r="Y363" s="4">
        <v>108</v>
      </c>
      <c r="Z363" s="4">
        <v>90</v>
      </c>
      <c r="AA363" s="4">
        <v>140</v>
      </c>
      <c r="AB363" s="4">
        <v>1</v>
      </c>
      <c r="AC363" s="4">
        <v>1</v>
      </c>
      <c r="AD363" s="4">
        <v>3</v>
      </c>
      <c r="AE363" s="4">
        <v>3</v>
      </c>
      <c r="AF363" s="4">
        <v>1</v>
      </c>
      <c r="AG363" s="4">
        <v>1</v>
      </c>
      <c r="AH363" s="4">
        <v>1</v>
      </c>
      <c r="AI363" s="4">
        <v>1</v>
      </c>
      <c r="AJ363" s="4">
        <v>1</v>
      </c>
      <c r="AK363" s="4">
        <v>1</v>
      </c>
      <c r="AL363" s="4">
        <v>0</v>
      </c>
      <c r="AM363" s="4">
        <v>0</v>
      </c>
      <c r="AN363" s="4">
        <v>0</v>
      </c>
      <c r="AO363" s="4">
        <v>0</v>
      </c>
      <c r="AP363" s="3" t="s">
        <v>58</v>
      </c>
      <c r="AQ363" s="3" t="s">
        <v>115</v>
      </c>
      <c r="AR363" s="6" t="str">
        <f>HYPERLINK("http://catalog.hathitrust.org/Record/003794824","HathiTrust Record")</f>
        <v>HathiTrust Record</v>
      </c>
      <c r="AS363" s="6" t="str">
        <f>HYPERLINK("https://creighton-primo.hosted.exlibrisgroup.com/primo-explore/search?tab=default_tab&amp;search_scope=EVERYTHING&amp;vid=01CRU&amp;lang=en_US&amp;offset=0&amp;query=any,contains,991000775369702656","Catalog Record")</f>
        <v>Catalog Record</v>
      </c>
      <c r="AT363" s="6" t="str">
        <f>HYPERLINK("http://www.worldcat.org/oclc/10268203","WorldCat Record")</f>
        <v>WorldCat Record</v>
      </c>
    </row>
    <row r="364" spans="1:46" ht="40.5" customHeight="1" x14ac:dyDescent="0.25">
      <c r="A364" s="8" t="s">
        <v>58</v>
      </c>
      <c r="B364" s="2" t="s">
        <v>3012</v>
      </c>
      <c r="C364" s="2" t="s">
        <v>3013</v>
      </c>
      <c r="D364" s="2" t="s">
        <v>722</v>
      </c>
      <c r="F364" s="3" t="s">
        <v>58</v>
      </c>
      <c r="G364" s="3" t="s">
        <v>59</v>
      </c>
      <c r="H364" s="3" t="s">
        <v>115</v>
      </c>
      <c r="I364" s="3" t="s">
        <v>58</v>
      </c>
      <c r="J364" s="3" t="s">
        <v>60</v>
      </c>
      <c r="K364" s="2" t="s">
        <v>723</v>
      </c>
      <c r="L364" s="2" t="s">
        <v>724</v>
      </c>
      <c r="M364" s="3" t="s">
        <v>725</v>
      </c>
      <c r="N364" s="2" t="s">
        <v>143</v>
      </c>
      <c r="O364" s="3" t="s">
        <v>64</v>
      </c>
      <c r="P364" s="3" t="s">
        <v>1355</v>
      </c>
      <c r="Q364" s="2" t="s">
        <v>726</v>
      </c>
      <c r="R364" s="3" t="s">
        <v>1346</v>
      </c>
      <c r="S364" s="4">
        <v>6</v>
      </c>
      <c r="T364" s="4">
        <v>6</v>
      </c>
      <c r="U364" s="5" t="s">
        <v>3014</v>
      </c>
      <c r="V364" s="5" t="s">
        <v>3014</v>
      </c>
      <c r="W364" s="5" t="s">
        <v>2918</v>
      </c>
      <c r="X364" s="5" t="s">
        <v>2918</v>
      </c>
      <c r="Y364" s="4">
        <v>372</v>
      </c>
      <c r="Z364" s="4">
        <v>294</v>
      </c>
      <c r="AA364" s="4">
        <v>578</v>
      </c>
      <c r="AB364" s="4">
        <v>6</v>
      </c>
      <c r="AC364" s="4">
        <v>9</v>
      </c>
      <c r="AD364" s="4">
        <v>18</v>
      </c>
      <c r="AE364" s="4">
        <v>32</v>
      </c>
      <c r="AF364" s="4">
        <v>5</v>
      </c>
      <c r="AG364" s="4">
        <v>9</v>
      </c>
      <c r="AH364" s="4">
        <v>4</v>
      </c>
      <c r="AI364" s="4">
        <v>7</v>
      </c>
      <c r="AJ364" s="4">
        <v>10</v>
      </c>
      <c r="AK364" s="4">
        <v>16</v>
      </c>
      <c r="AL364" s="4">
        <v>4</v>
      </c>
      <c r="AM364" s="4">
        <v>7</v>
      </c>
      <c r="AN364" s="4">
        <v>0</v>
      </c>
      <c r="AO364" s="4">
        <v>0</v>
      </c>
      <c r="AP364" s="3" t="s">
        <v>58</v>
      </c>
      <c r="AQ364" s="3" t="s">
        <v>115</v>
      </c>
      <c r="AR364" s="6" t="str">
        <f>HYPERLINK("http://catalog.hathitrust.org/Record/000109633","HathiTrust Record")</f>
        <v>HathiTrust Record</v>
      </c>
      <c r="AS364" s="6" t="str">
        <f>HYPERLINK("https://creighton-primo.hosted.exlibrisgroup.com/primo-explore/search?tab=default_tab&amp;search_scope=EVERYTHING&amp;vid=01CRU&amp;lang=en_US&amp;offset=0&amp;query=any,contains,991000957869702656","Catalog Record")</f>
        <v>Catalog Record</v>
      </c>
      <c r="AT364" s="6" t="str">
        <f>HYPERLINK("http://www.worldcat.org/oclc/7925458","WorldCat Record")</f>
        <v>WorldCat Record</v>
      </c>
    </row>
    <row r="365" spans="1:46" ht="40.5" customHeight="1" x14ac:dyDescent="0.25">
      <c r="A365" s="8" t="s">
        <v>58</v>
      </c>
      <c r="B365" s="2" t="s">
        <v>3015</v>
      </c>
      <c r="C365" s="2" t="s">
        <v>3016</v>
      </c>
      <c r="D365" s="2" t="s">
        <v>3017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3018</v>
      </c>
      <c r="M365" s="3" t="s">
        <v>1511</v>
      </c>
      <c r="O365" s="3" t="s">
        <v>64</v>
      </c>
      <c r="P365" s="3" t="s">
        <v>755</v>
      </c>
      <c r="R365" s="3" t="s">
        <v>1346</v>
      </c>
      <c r="S365" s="4">
        <v>5</v>
      </c>
      <c r="T365" s="4">
        <v>5</v>
      </c>
      <c r="U365" s="5" t="s">
        <v>3019</v>
      </c>
      <c r="V365" s="5" t="s">
        <v>3019</v>
      </c>
      <c r="W365" s="5" t="s">
        <v>3020</v>
      </c>
      <c r="X365" s="5" t="s">
        <v>3020</v>
      </c>
      <c r="Y365" s="4">
        <v>70</v>
      </c>
      <c r="Z365" s="4">
        <v>64</v>
      </c>
      <c r="AA365" s="4">
        <v>64</v>
      </c>
      <c r="AB365" s="4">
        <v>1</v>
      </c>
      <c r="AC365" s="4">
        <v>1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3" t="s">
        <v>58</v>
      </c>
      <c r="AQ365" s="3" t="s">
        <v>58</v>
      </c>
      <c r="AS365" s="6" t="str">
        <f>HYPERLINK("https://creighton-primo.hosted.exlibrisgroup.com/primo-explore/search?tab=default_tab&amp;search_scope=EVERYTHING&amp;vid=01CRU&amp;lang=en_US&amp;offset=0&amp;query=any,contains,991001354669702656","Catalog Record")</f>
        <v>Catalog Record</v>
      </c>
      <c r="AT365" s="6" t="str">
        <f>HYPERLINK("http://www.worldcat.org/oclc/20494662","WorldCat Record")</f>
        <v>WorldCat Record</v>
      </c>
    </row>
    <row r="366" spans="1:46" ht="40.5" customHeight="1" x14ac:dyDescent="0.25">
      <c r="A366" s="8" t="s">
        <v>58</v>
      </c>
      <c r="B366" s="2" t="s">
        <v>3021</v>
      </c>
      <c r="C366" s="2" t="s">
        <v>3022</v>
      </c>
      <c r="D366" s="2" t="s">
        <v>3023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L366" s="2" t="s">
        <v>3024</v>
      </c>
      <c r="M366" s="3" t="s">
        <v>1925</v>
      </c>
      <c r="O366" s="3" t="s">
        <v>64</v>
      </c>
      <c r="P366" s="3" t="s">
        <v>144</v>
      </c>
      <c r="R366" s="3" t="s">
        <v>1346</v>
      </c>
      <c r="S366" s="4">
        <v>0</v>
      </c>
      <c r="T366" s="4">
        <v>0</v>
      </c>
      <c r="U366" s="5" t="s">
        <v>3025</v>
      </c>
      <c r="V366" s="5" t="s">
        <v>3025</v>
      </c>
      <c r="W366" s="5" t="s">
        <v>3026</v>
      </c>
      <c r="X366" s="5" t="s">
        <v>3026</v>
      </c>
      <c r="Y366" s="4">
        <v>182</v>
      </c>
      <c r="Z366" s="4">
        <v>121</v>
      </c>
      <c r="AA366" s="4">
        <v>499</v>
      </c>
      <c r="AB366" s="4">
        <v>1</v>
      </c>
      <c r="AC366" s="4">
        <v>5</v>
      </c>
      <c r="AD366" s="4">
        <v>3</v>
      </c>
      <c r="AE366" s="4">
        <v>22</v>
      </c>
      <c r="AF366" s="4">
        <v>0</v>
      </c>
      <c r="AG366" s="4">
        <v>6</v>
      </c>
      <c r="AH366" s="4">
        <v>2</v>
      </c>
      <c r="AI366" s="4">
        <v>7</v>
      </c>
      <c r="AJ366" s="4">
        <v>1</v>
      </c>
      <c r="AK366" s="4">
        <v>6</v>
      </c>
      <c r="AL366" s="4">
        <v>0</v>
      </c>
      <c r="AM366" s="4">
        <v>4</v>
      </c>
      <c r="AN366" s="4">
        <v>0</v>
      </c>
      <c r="AO366" s="4">
        <v>1</v>
      </c>
      <c r="AP366" s="3" t="s">
        <v>58</v>
      </c>
      <c r="AQ366" s="3" t="s">
        <v>58</v>
      </c>
      <c r="AS366" s="6" t="str">
        <f>HYPERLINK("https://creighton-primo.hosted.exlibrisgroup.com/primo-explore/search?tab=default_tab&amp;search_scope=EVERYTHING&amp;vid=01CRU&amp;lang=en_US&amp;offset=0&amp;query=any,contains,991000551529702656","Catalog Record")</f>
        <v>Catalog Record</v>
      </c>
      <c r="AT366" s="6" t="str">
        <f>HYPERLINK("http://www.worldcat.org/oclc/47659400","WorldCat Record")</f>
        <v>WorldCat Record</v>
      </c>
    </row>
    <row r="367" spans="1:46" ht="40.5" customHeight="1" x14ac:dyDescent="0.25">
      <c r="A367" s="8" t="s">
        <v>58</v>
      </c>
      <c r="B367" s="2" t="s">
        <v>3027</v>
      </c>
      <c r="C367" s="2" t="s">
        <v>3028</v>
      </c>
      <c r="D367" s="2" t="s">
        <v>2681</v>
      </c>
      <c r="F367" s="3" t="s">
        <v>58</v>
      </c>
      <c r="G367" s="3" t="s">
        <v>59</v>
      </c>
      <c r="H367" s="3" t="s">
        <v>58</v>
      </c>
      <c r="I367" s="3" t="s">
        <v>115</v>
      </c>
      <c r="J367" s="3" t="s">
        <v>60</v>
      </c>
      <c r="K367" s="2" t="s">
        <v>2682</v>
      </c>
      <c r="L367" s="2" t="s">
        <v>3029</v>
      </c>
      <c r="M367" s="3" t="s">
        <v>142</v>
      </c>
      <c r="N367" s="2" t="s">
        <v>1354</v>
      </c>
      <c r="O367" s="3" t="s">
        <v>64</v>
      </c>
      <c r="P367" s="3" t="s">
        <v>2571</v>
      </c>
      <c r="R367" s="3" t="s">
        <v>1346</v>
      </c>
      <c r="S367" s="4">
        <v>7</v>
      </c>
      <c r="T367" s="4">
        <v>7</v>
      </c>
      <c r="U367" s="5" t="s">
        <v>3030</v>
      </c>
      <c r="V367" s="5" t="s">
        <v>3030</v>
      </c>
      <c r="W367" s="5" t="s">
        <v>3031</v>
      </c>
      <c r="X367" s="5" t="s">
        <v>3031</v>
      </c>
      <c r="Y367" s="4">
        <v>32</v>
      </c>
      <c r="Z367" s="4">
        <v>26</v>
      </c>
      <c r="AA367" s="4">
        <v>189</v>
      </c>
      <c r="AB367" s="4">
        <v>1</v>
      </c>
      <c r="AC367" s="4">
        <v>2</v>
      </c>
      <c r="AD367" s="4">
        <v>1</v>
      </c>
      <c r="AE367" s="4">
        <v>6</v>
      </c>
      <c r="AF367" s="4">
        <v>1</v>
      </c>
      <c r="AG367" s="4">
        <v>4</v>
      </c>
      <c r="AH367" s="4">
        <v>0</v>
      </c>
      <c r="AI367" s="4">
        <v>1</v>
      </c>
      <c r="AJ367" s="4">
        <v>0</v>
      </c>
      <c r="AK367" s="4">
        <v>1</v>
      </c>
      <c r="AL367" s="4">
        <v>0</v>
      </c>
      <c r="AM367" s="4">
        <v>1</v>
      </c>
      <c r="AN367" s="4">
        <v>0</v>
      </c>
      <c r="AO367" s="4">
        <v>0</v>
      </c>
      <c r="AP367" s="3" t="s">
        <v>58</v>
      </c>
      <c r="AQ367" s="3" t="s">
        <v>115</v>
      </c>
      <c r="AR367" s="6" t="str">
        <f>HYPERLINK("http://catalog.hathitrust.org/Record/002613566","HathiTrust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HYPERLINK("https://creighton-primo.hosted.exlibrisgroup.com/primo-explore/search?tab=default_tab&amp;search_scope=EVERYTHING&amp;vid=01CRU&amp;lang=en_US&amp;offset=0&amp;query=any,contains,991001026729702656","Catalog Record")</f>
        <v>Catalog Record</v>
      </c>
      <c r="AT367" s="6" t="str">
        <f>HYPERLINK("http://www.worldcat.org/oclc/19930415","WorldCat Record")</f>
        <v>WorldCat Record</v>
      </c>
    </row>
    <row r="368" spans="1:46" ht="40.5" customHeight="1" x14ac:dyDescent="0.25">
      <c r="A368" s="8" t="s">
        <v>58</v>
      </c>
      <c r="B368" s="2" t="s">
        <v>3032</v>
      </c>
      <c r="C368" s="2" t="s">
        <v>3033</v>
      </c>
      <c r="D368" s="2" t="s">
        <v>3034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3035</v>
      </c>
      <c r="L368" s="2" t="s">
        <v>3036</v>
      </c>
      <c r="M368" s="3" t="s">
        <v>189</v>
      </c>
      <c r="N368" s="2" t="s">
        <v>143</v>
      </c>
      <c r="O368" s="3" t="s">
        <v>64</v>
      </c>
      <c r="P368" s="3" t="s">
        <v>1355</v>
      </c>
      <c r="R368" s="3" t="s">
        <v>1346</v>
      </c>
      <c r="S368" s="4">
        <v>11</v>
      </c>
      <c r="T368" s="4">
        <v>11</v>
      </c>
      <c r="U368" s="5" t="s">
        <v>3037</v>
      </c>
      <c r="V368" s="5" t="s">
        <v>3037</v>
      </c>
      <c r="W368" s="5" t="s">
        <v>3038</v>
      </c>
      <c r="X368" s="5" t="s">
        <v>3038</v>
      </c>
      <c r="Y368" s="4">
        <v>38</v>
      </c>
      <c r="Z368" s="4">
        <v>33</v>
      </c>
      <c r="AA368" s="4">
        <v>72</v>
      </c>
      <c r="AB368" s="4">
        <v>1</v>
      </c>
      <c r="AC368" s="4">
        <v>1</v>
      </c>
      <c r="AD368" s="4">
        <v>1</v>
      </c>
      <c r="AE368" s="4">
        <v>2</v>
      </c>
      <c r="AF368" s="4">
        <v>1</v>
      </c>
      <c r="AG368" s="4">
        <v>2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3" t="s">
        <v>58</v>
      </c>
      <c r="AQ368" s="3" t="s">
        <v>115</v>
      </c>
      <c r="AR368" s="6" t="str">
        <f>HYPERLINK("http://catalog.hathitrust.org/Record/002550398","HathiTrust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HYPERLINK("https://creighton-primo.hosted.exlibrisgroup.com/primo-explore/search?tab=default_tab&amp;search_scope=EVERYTHING&amp;vid=01CRU&amp;lang=en_US&amp;offset=0&amp;query=any,contains,991001350689702656","Catalog Record")</f>
        <v>Catalog Record</v>
      </c>
      <c r="AT368" s="6" t="str">
        <f>HYPERLINK("http://www.worldcat.org/oclc/25591456","WorldCat Record")</f>
        <v>WorldCat Record</v>
      </c>
    </row>
    <row r="369" spans="1:46" ht="40.5" customHeight="1" x14ac:dyDescent="0.25">
      <c r="A369" s="8" t="s">
        <v>58</v>
      </c>
      <c r="B369" s="2" t="s">
        <v>3039</v>
      </c>
      <c r="C369" s="2" t="s">
        <v>3040</v>
      </c>
      <c r="D369" s="2" t="s">
        <v>3041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3042</v>
      </c>
      <c r="L369" s="2" t="s">
        <v>3043</v>
      </c>
      <c r="M369" s="3" t="s">
        <v>515</v>
      </c>
      <c r="O369" s="3" t="s">
        <v>64</v>
      </c>
      <c r="P369" s="3" t="s">
        <v>1355</v>
      </c>
      <c r="Q369" s="2" t="s">
        <v>3044</v>
      </c>
      <c r="R369" s="3" t="s">
        <v>1346</v>
      </c>
      <c r="S369" s="4">
        <v>3</v>
      </c>
      <c r="T369" s="4">
        <v>3</v>
      </c>
      <c r="U369" s="5" t="s">
        <v>3045</v>
      </c>
      <c r="V369" s="5" t="s">
        <v>3045</v>
      </c>
      <c r="W369" s="5" t="s">
        <v>2918</v>
      </c>
      <c r="X369" s="5" t="s">
        <v>2918</v>
      </c>
      <c r="Y369" s="4">
        <v>259</v>
      </c>
      <c r="Z369" s="4">
        <v>216</v>
      </c>
      <c r="AA369" s="4">
        <v>233</v>
      </c>
      <c r="AB369" s="4">
        <v>1</v>
      </c>
      <c r="AC369" s="4">
        <v>1</v>
      </c>
      <c r="AD369" s="4">
        <v>11</v>
      </c>
      <c r="AE369" s="4">
        <v>11</v>
      </c>
      <c r="AF369" s="4">
        <v>3</v>
      </c>
      <c r="AG369" s="4">
        <v>3</v>
      </c>
      <c r="AH369" s="4">
        <v>3</v>
      </c>
      <c r="AI369" s="4">
        <v>3</v>
      </c>
      <c r="AJ369" s="4">
        <v>10</v>
      </c>
      <c r="AK369" s="4">
        <v>10</v>
      </c>
      <c r="AL369" s="4">
        <v>0</v>
      </c>
      <c r="AM369" s="4">
        <v>0</v>
      </c>
      <c r="AN369" s="4">
        <v>0</v>
      </c>
      <c r="AO369" s="4">
        <v>0</v>
      </c>
      <c r="AP369" s="3" t="s">
        <v>58</v>
      </c>
      <c r="AQ369" s="3" t="s">
        <v>115</v>
      </c>
      <c r="AR369" s="6" t="str">
        <f>HYPERLINK("http://catalog.hathitrust.org/Record/000556493","HathiTrust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HYPERLINK("https://creighton-primo.hosted.exlibrisgroup.com/primo-explore/search?tab=default_tab&amp;search_scope=EVERYTHING&amp;vid=01CRU&amp;lang=en_US&amp;offset=0&amp;query=any,contains,991000957919702656","Catalog Record")</f>
        <v>Catalog Record</v>
      </c>
      <c r="AT369" s="6" t="str">
        <f>HYPERLINK("http://www.worldcat.org/oclc/13822758","WorldCat Record")</f>
        <v>WorldCat Record</v>
      </c>
    </row>
    <row r="370" spans="1:46" ht="40.5" customHeight="1" x14ac:dyDescent="0.25">
      <c r="A370" s="8" t="s">
        <v>58</v>
      </c>
      <c r="B370" s="2" t="s">
        <v>3046</v>
      </c>
      <c r="C370" s="2" t="s">
        <v>3047</v>
      </c>
      <c r="D370" s="2" t="s">
        <v>3048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L370" s="2" t="s">
        <v>3049</v>
      </c>
      <c r="M370" s="3" t="s">
        <v>235</v>
      </c>
      <c r="N370" s="2" t="s">
        <v>1344</v>
      </c>
      <c r="O370" s="3" t="s">
        <v>64</v>
      </c>
      <c r="P370" s="3" t="s">
        <v>65</v>
      </c>
      <c r="R370" s="3" t="s">
        <v>1346</v>
      </c>
      <c r="S370" s="4">
        <v>6</v>
      </c>
      <c r="T370" s="4">
        <v>6</v>
      </c>
      <c r="U370" s="5" t="s">
        <v>3050</v>
      </c>
      <c r="V370" s="5" t="s">
        <v>3050</v>
      </c>
      <c r="W370" s="5" t="s">
        <v>2918</v>
      </c>
      <c r="X370" s="5" t="s">
        <v>2918</v>
      </c>
      <c r="Y370" s="4">
        <v>278</v>
      </c>
      <c r="Z370" s="4">
        <v>193</v>
      </c>
      <c r="AA370" s="4">
        <v>200</v>
      </c>
      <c r="AB370" s="4">
        <v>2</v>
      </c>
      <c r="AC370" s="4">
        <v>2</v>
      </c>
      <c r="AD370" s="4">
        <v>8</v>
      </c>
      <c r="AE370" s="4">
        <v>8</v>
      </c>
      <c r="AF370" s="4">
        <v>2</v>
      </c>
      <c r="AG370" s="4">
        <v>2</v>
      </c>
      <c r="AH370" s="4">
        <v>2</v>
      </c>
      <c r="AI370" s="4">
        <v>2</v>
      </c>
      <c r="AJ370" s="4">
        <v>6</v>
      </c>
      <c r="AK370" s="4">
        <v>6</v>
      </c>
      <c r="AL370" s="4">
        <v>1</v>
      </c>
      <c r="AM370" s="4">
        <v>1</v>
      </c>
      <c r="AN370" s="4">
        <v>0</v>
      </c>
      <c r="AO370" s="4">
        <v>0</v>
      </c>
      <c r="AP370" s="3" t="s">
        <v>58</v>
      </c>
      <c r="AQ370" s="3" t="s">
        <v>115</v>
      </c>
      <c r="AR370" s="6" t="str">
        <f>HYPERLINK("http://catalog.hathitrust.org/Record/000135552","HathiTrust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HYPERLINK("https://creighton-primo.hosted.exlibrisgroup.com/primo-explore/search?tab=default_tab&amp;search_scope=EVERYTHING&amp;vid=01CRU&amp;lang=en_US&amp;offset=0&amp;query=any,contains,991000957969702656","Catalog Record")</f>
        <v>Catalog Record</v>
      </c>
      <c r="AT370" s="6" t="str">
        <f>HYPERLINK("http://www.worldcat.org/oclc/3844717","WorldCat Record")</f>
        <v>WorldCat Record</v>
      </c>
    </row>
    <row r="371" spans="1:46" ht="40.5" customHeight="1" x14ac:dyDescent="0.25">
      <c r="A371" s="8" t="s">
        <v>58</v>
      </c>
      <c r="B371" s="2" t="s">
        <v>3051</v>
      </c>
      <c r="C371" s="2" t="s">
        <v>3052</v>
      </c>
      <c r="D371" s="2" t="s">
        <v>3053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L371" s="2" t="s">
        <v>3054</v>
      </c>
      <c r="M371" s="3" t="s">
        <v>306</v>
      </c>
      <c r="O371" s="3" t="s">
        <v>64</v>
      </c>
      <c r="P371" s="3" t="s">
        <v>755</v>
      </c>
      <c r="R371" s="3" t="s">
        <v>1346</v>
      </c>
      <c r="S371" s="4">
        <v>1</v>
      </c>
      <c r="T371" s="4">
        <v>1</v>
      </c>
      <c r="U371" s="5" t="s">
        <v>3055</v>
      </c>
      <c r="V371" s="5" t="s">
        <v>3055</v>
      </c>
      <c r="W371" s="5" t="s">
        <v>2654</v>
      </c>
      <c r="X371" s="5" t="s">
        <v>2654</v>
      </c>
      <c r="Y371" s="4">
        <v>222</v>
      </c>
      <c r="Z371" s="4">
        <v>196</v>
      </c>
      <c r="AA371" s="4">
        <v>203</v>
      </c>
      <c r="AB371" s="4">
        <v>1</v>
      </c>
      <c r="AC371" s="4">
        <v>1</v>
      </c>
      <c r="AD371" s="4">
        <v>5</v>
      </c>
      <c r="AE371" s="4">
        <v>5</v>
      </c>
      <c r="AF371" s="4">
        <v>2</v>
      </c>
      <c r="AG371" s="4">
        <v>2</v>
      </c>
      <c r="AH371" s="4">
        <v>1</v>
      </c>
      <c r="AI371" s="4">
        <v>1</v>
      </c>
      <c r="AJ371" s="4">
        <v>4</v>
      </c>
      <c r="AK371" s="4">
        <v>4</v>
      </c>
      <c r="AL371" s="4">
        <v>0</v>
      </c>
      <c r="AM371" s="4">
        <v>0</v>
      </c>
      <c r="AN371" s="4">
        <v>0</v>
      </c>
      <c r="AO371" s="4">
        <v>0</v>
      </c>
      <c r="AP371" s="3" t="s">
        <v>58</v>
      </c>
      <c r="AQ371" s="3" t="s">
        <v>115</v>
      </c>
      <c r="AR371" s="6" t="str">
        <f>HYPERLINK("http://catalog.hathitrust.org/Record/003062356","HathiTrust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HYPERLINK("https://creighton-primo.hosted.exlibrisgroup.com/primo-explore/search?tab=default_tab&amp;search_scope=EVERYTHING&amp;vid=01CRU&amp;lang=en_US&amp;offset=0&amp;query=any,contains,991001552669702656","Catalog Record")</f>
        <v>Catalog Record</v>
      </c>
      <c r="AT371" s="6" t="str">
        <f>HYPERLINK("http://www.worldcat.org/oclc/33440562","WorldCat Record")</f>
        <v>WorldCat Record</v>
      </c>
    </row>
    <row r="372" spans="1:46" ht="40.5" customHeight="1" x14ac:dyDescent="0.25">
      <c r="A372" s="8" t="s">
        <v>58</v>
      </c>
      <c r="B372" s="2" t="s">
        <v>3056</v>
      </c>
      <c r="C372" s="2" t="s">
        <v>3057</v>
      </c>
      <c r="D372" s="2" t="s">
        <v>3058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L372" s="2" t="s">
        <v>2276</v>
      </c>
      <c r="M372" s="3" t="s">
        <v>1177</v>
      </c>
      <c r="O372" s="3" t="s">
        <v>64</v>
      </c>
      <c r="P372" s="3" t="s">
        <v>1355</v>
      </c>
      <c r="R372" s="3" t="s">
        <v>1346</v>
      </c>
      <c r="S372" s="4">
        <v>23</v>
      </c>
      <c r="T372" s="4">
        <v>23</v>
      </c>
      <c r="U372" s="5" t="s">
        <v>3059</v>
      </c>
      <c r="V372" s="5" t="s">
        <v>3059</v>
      </c>
      <c r="W372" s="5" t="s">
        <v>3060</v>
      </c>
      <c r="X372" s="5" t="s">
        <v>3060</v>
      </c>
      <c r="Y372" s="4">
        <v>329</v>
      </c>
      <c r="Z372" s="4">
        <v>237</v>
      </c>
      <c r="AA372" s="4">
        <v>244</v>
      </c>
      <c r="AB372" s="4">
        <v>2</v>
      </c>
      <c r="AC372" s="4">
        <v>2</v>
      </c>
      <c r="AD372" s="4">
        <v>13</v>
      </c>
      <c r="AE372" s="4">
        <v>14</v>
      </c>
      <c r="AF372" s="4">
        <v>4</v>
      </c>
      <c r="AG372" s="4">
        <v>5</v>
      </c>
      <c r="AH372" s="4">
        <v>5</v>
      </c>
      <c r="AI372" s="4">
        <v>5</v>
      </c>
      <c r="AJ372" s="4">
        <v>6</v>
      </c>
      <c r="AK372" s="4">
        <v>7</v>
      </c>
      <c r="AL372" s="4">
        <v>1</v>
      </c>
      <c r="AM372" s="4">
        <v>1</v>
      </c>
      <c r="AN372" s="4">
        <v>0</v>
      </c>
      <c r="AO372" s="4">
        <v>0</v>
      </c>
      <c r="AP372" s="3" t="s">
        <v>58</v>
      </c>
      <c r="AQ372" s="3" t="s">
        <v>58</v>
      </c>
      <c r="AS372" s="6" t="str">
        <f>HYPERLINK("https://creighton-primo.hosted.exlibrisgroup.com/primo-explore/search?tab=default_tab&amp;search_scope=EVERYTHING&amp;vid=01CRU&amp;lang=en_US&amp;offset=0&amp;query=any,contains,991001537899702656","Catalog Record")</f>
        <v>Catalog Record</v>
      </c>
      <c r="AT372" s="6" t="str">
        <f>HYPERLINK("http://www.worldcat.org/oclc/15630691","WorldCat Record")</f>
        <v>WorldCat Record</v>
      </c>
    </row>
    <row r="373" spans="1:46" ht="40.5" customHeight="1" x14ac:dyDescent="0.25">
      <c r="A373" s="8" t="s">
        <v>58</v>
      </c>
      <c r="B373" s="2" t="s">
        <v>3061</v>
      </c>
      <c r="C373" s="2" t="s">
        <v>3062</v>
      </c>
      <c r="D373" s="2" t="s">
        <v>3063</v>
      </c>
      <c r="F373" s="3" t="s">
        <v>58</v>
      </c>
      <c r="G373" s="3" t="s">
        <v>59</v>
      </c>
      <c r="H373" s="3" t="s">
        <v>58</v>
      </c>
      <c r="I373" s="3" t="s">
        <v>115</v>
      </c>
      <c r="J373" s="3" t="s">
        <v>60</v>
      </c>
      <c r="K373" s="2" t="s">
        <v>3064</v>
      </c>
      <c r="L373" s="2" t="s">
        <v>3065</v>
      </c>
      <c r="M373" s="3" t="s">
        <v>1122</v>
      </c>
      <c r="N373" s="2" t="s">
        <v>1362</v>
      </c>
      <c r="O373" s="3" t="s">
        <v>64</v>
      </c>
      <c r="P373" s="3" t="s">
        <v>1406</v>
      </c>
      <c r="R373" s="3" t="s">
        <v>1346</v>
      </c>
      <c r="S373" s="4">
        <v>15</v>
      </c>
      <c r="T373" s="4">
        <v>15</v>
      </c>
      <c r="U373" s="5" t="s">
        <v>3066</v>
      </c>
      <c r="V373" s="5" t="s">
        <v>3066</v>
      </c>
      <c r="W373" s="5" t="s">
        <v>3067</v>
      </c>
      <c r="X373" s="5" t="s">
        <v>3067</v>
      </c>
      <c r="Y373" s="4">
        <v>216</v>
      </c>
      <c r="Z373" s="4">
        <v>185</v>
      </c>
      <c r="AA373" s="4">
        <v>1409</v>
      </c>
      <c r="AB373" s="4">
        <v>1</v>
      </c>
      <c r="AC373" s="4">
        <v>12</v>
      </c>
      <c r="AD373" s="4">
        <v>5</v>
      </c>
      <c r="AE373" s="4">
        <v>49</v>
      </c>
      <c r="AF373" s="4">
        <v>2</v>
      </c>
      <c r="AG373" s="4">
        <v>22</v>
      </c>
      <c r="AH373" s="4">
        <v>0</v>
      </c>
      <c r="AI373" s="4">
        <v>9</v>
      </c>
      <c r="AJ373" s="4">
        <v>3</v>
      </c>
      <c r="AK373" s="4">
        <v>20</v>
      </c>
      <c r="AL373" s="4">
        <v>0</v>
      </c>
      <c r="AM373" s="4">
        <v>9</v>
      </c>
      <c r="AN373" s="4">
        <v>0</v>
      </c>
      <c r="AO373" s="4">
        <v>0</v>
      </c>
      <c r="AP373" s="3" t="s">
        <v>58</v>
      </c>
      <c r="AQ373" s="3" t="s">
        <v>115</v>
      </c>
      <c r="AR373" s="6" t="str">
        <f>HYPERLINK("http://catalog.hathitrust.org/Record/001944436","HathiTrust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HYPERLINK("https://creighton-primo.hosted.exlibrisgroup.com/primo-explore/search?tab=default_tab&amp;search_scope=EVERYTHING&amp;vid=01CRU&amp;lang=en_US&amp;offset=0&amp;query=any,contains,991001356379702656","Catalog Record")</f>
        <v>Catalog Record</v>
      </c>
      <c r="AT373" s="6" t="str">
        <f>HYPERLINK("http://www.worldcat.org/oclc/20261584","WorldCat Record")</f>
        <v>WorldCat Record</v>
      </c>
    </row>
    <row r="374" spans="1:46" ht="40.5" customHeight="1" x14ac:dyDescent="0.25">
      <c r="A374" s="8" t="s">
        <v>58</v>
      </c>
      <c r="B374" s="2" t="s">
        <v>3068</v>
      </c>
      <c r="C374" s="2" t="s">
        <v>3069</v>
      </c>
      <c r="D374" s="2" t="s">
        <v>3070</v>
      </c>
      <c r="F374" s="3" t="s">
        <v>58</v>
      </c>
      <c r="G374" s="3" t="s">
        <v>59</v>
      </c>
      <c r="H374" s="3" t="s">
        <v>58</v>
      </c>
      <c r="I374" s="3" t="s">
        <v>115</v>
      </c>
      <c r="J374" s="3" t="s">
        <v>59</v>
      </c>
      <c r="K374" s="2" t="s">
        <v>3071</v>
      </c>
      <c r="L374" s="2" t="s">
        <v>2683</v>
      </c>
      <c r="M374" s="3" t="s">
        <v>365</v>
      </c>
      <c r="N374" s="2" t="s">
        <v>936</v>
      </c>
      <c r="O374" s="3" t="s">
        <v>64</v>
      </c>
      <c r="P374" s="3" t="s">
        <v>755</v>
      </c>
      <c r="R374" s="3" t="s">
        <v>1346</v>
      </c>
      <c r="S374" s="4">
        <v>6</v>
      </c>
      <c r="T374" s="4">
        <v>6</v>
      </c>
      <c r="U374" s="5" t="s">
        <v>3072</v>
      </c>
      <c r="V374" s="5" t="s">
        <v>3072</v>
      </c>
      <c r="W374" s="5" t="s">
        <v>3073</v>
      </c>
      <c r="X374" s="5" t="s">
        <v>3073</v>
      </c>
      <c r="Y374" s="4">
        <v>141</v>
      </c>
      <c r="Z374" s="4">
        <v>119</v>
      </c>
      <c r="AA374" s="4">
        <v>602</v>
      </c>
      <c r="AB374" s="4">
        <v>1</v>
      </c>
      <c r="AC374" s="4">
        <v>2</v>
      </c>
      <c r="AD374" s="4">
        <v>2</v>
      </c>
      <c r="AE374" s="4">
        <v>28</v>
      </c>
      <c r="AF374" s="4">
        <v>1</v>
      </c>
      <c r="AG374" s="4">
        <v>12</v>
      </c>
      <c r="AH374" s="4">
        <v>0</v>
      </c>
      <c r="AI374" s="4">
        <v>5</v>
      </c>
      <c r="AJ374" s="4">
        <v>1</v>
      </c>
      <c r="AK374" s="4">
        <v>16</v>
      </c>
      <c r="AL374" s="4">
        <v>0</v>
      </c>
      <c r="AM374" s="4">
        <v>1</v>
      </c>
      <c r="AN374" s="4">
        <v>0</v>
      </c>
      <c r="AO374" s="4">
        <v>1</v>
      </c>
      <c r="AP374" s="3" t="s">
        <v>58</v>
      </c>
      <c r="AQ374" s="3" t="s">
        <v>58</v>
      </c>
      <c r="AS374" s="6" t="str">
        <f>HYPERLINK("https://creighton-primo.hosted.exlibrisgroup.com/primo-explore/search?tab=default_tab&amp;search_scope=EVERYTHING&amp;vid=01CRU&amp;lang=en_US&amp;offset=0&amp;query=any,contains,991001263119702656","Catalog Record")</f>
        <v>Catalog Record</v>
      </c>
      <c r="AT374" s="6" t="str">
        <f>HYPERLINK("http://www.worldcat.org/oclc/34990004","WorldCat Record")</f>
        <v>WorldCat Record</v>
      </c>
    </row>
    <row r="375" spans="1:46" ht="40.5" customHeight="1" x14ac:dyDescent="0.25">
      <c r="A375" s="8" t="s">
        <v>58</v>
      </c>
      <c r="B375" s="2" t="s">
        <v>3074</v>
      </c>
      <c r="C375" s="2" t="s">
        <v>3075</v>
      </c>
      <c r="D375" s="2" t="s">
        <v>3070</v>
      </c>
      <c r="F375" s="3" t="s">
        <v>58</v>
      </c>
      <c r="G375" s="3" t="s">
        <v>59</v>
      </c>
      <c r="H375" s="3" t="s">
        <v>58</v>
      </c>
      <c r="I375" s="3" t="s">
        <v>115</v>
      </c>
      <c r="J375" s="3" t="s">
        <v>59</v>
      </c>
      <c r="K375" s="2" t="s">
        <v>3071</v>
      </c>
      <c r="L375" s="2" t="s">
        <v>3076</v>
      </c>
      <c r="M375" s="3" t="s">
        <v>572</v>
      </c>
      <c r="N375" s="2" t="s">
        <v>221</v>
      </c>
      <c r="O375" s="3" t="s">
        <v>64</v>
      </c>
      <c r="P375" s="3" t="s">
        <v>755</v>
      </c>
      <c r="R375" s="3" t="s">
        <v>1346</v>
      </c>
      <c r="S375" s="4">
        <v>2</v>
      </c>
      <c r="T375" s="4">
        <v>2</v>
      </c>
      <c r="U375" s="5" t="s">
        <v>3077</v>
      </c>
      <c r="V375" s="5" t="s">
        <v>3077</v>
      </c>
      <c r="W375" s="5" t="s">
        <v>3078</v>
      </c>
      <c r="X375" s="5" t="s">
        <v>3078</v>
      </c>
      <c r="Y375" s="4">
        <v>195</v>
      </c>
      <c r="Z375" s="4">
        <v>163</v>
      </c>
      <c r="AA375" s="4">
        <v>602</v>
      </c>
      <c r="AB375" s="4">
        <v>1</v>
      </c>
      <c r="AC375" s="4">
        <v>2</v>
      </c>
      <c r="AD375" s="4">
        <v>8</v>
      </c>
      <c r="AE375" s="4">
        <v>28</v>
      </c>
      <c r="AF375" s="4">
        <v>4</v>
      </c>
      <c r="AG375" s="4">
        <v>12</v>
      </c>
      <c r="AH375" s="4">
        <v>0</v>
      </c>
      <c r="AI375" s="4">
        <v>5</v>
      </c>
      <c r="AJ375" s="4">
        <v>6</v>
      </c>
      <c r="AK375" s="4">
        <v>16</v>
      </c>
      <c r="AL375" s="4">
        <v>0</v>
      </c>
      <c r="AM375" s="4">
        <v>1</v>
      </c>
      <c r="AN375" s="4">
        <v>0</v>
      </c>
      <c r="AO375" s="4">
        <v>1</v>
      </c>
      <c r="AP375" s="3" t="s">
        <v>58</v>
      </c>
      <c r="AQ375" s="3" t="s">
        <v>115</v>
      </c>
      <c r="AR375" s="6" t="str">
        <f>HYPERLINK("http://catalog.hathitrust.org/Record/004295665","HathiTrust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HYPERLINK("https://creighton-primo.hosted.exlibrisgroup.com/primo-explore/search?tab=default_tab&amp;search_scope=EVERYTHING&amp;vid=01CRU&amp;lang=en_US&amp;offset=0&amp;query=any,contains,991000369099702656","Catalog Record")</f>
        <v>Catalog Record</v>
      </c>
      <c r="AT375" s="6" t="str">
        <f>HYPERLINK("http://www.worldcat.org/oclc/49512675","WorldCat Record")</f>
        <v>WorldCat Record</v>
      </c>
    </row>
    <row r="376" spans="1:46" ht="40.5" customHeight="1" x14ac:dyDescent="0.25">
      <c r="A376" s="8" t="s">
        <v>58</v>
      </c>
      <c r="B376" s="2" t="s">
        <v>3079</v>
      </c>
      <c r="C376" s="2" t="s">
        <v>3080</v>
      </c>
      <c r="D376" s="2" t="s">
        <v>3070</v>
      </c>
      <c r="F376" s="3" t="s">
        <v>58</v>
      </c>
      <c r="G376" s="3" t="s">
        <v>59</v>
      </c>
      <c r="H376" s="3" t="s">
        <v>58</v>
      </c>
      <c r="I376" s="3" t="s">
        <v>115</v>
      </c>
      <c r="J376" s="3" t="s">
        <v>59</v>
      </c>
      <c r="K376" s="2" t="s">
        <v>3071</v>
      </c>
      <c r="L376" s="2" t="s">
        <v>3081</v>
      </c>
      <c r="M376" s="3" t="s">
        <v>468</v>
      </c>
      <c r="N376" s="2" t="s">
        <v>1362</v>
      </c>
      <c r="O376" s="3" t="s">
        <v>64</v>
      </c>
      <c r="P376" s="3" t="s">
        <v>755</v>
      </c>
      <c r="R376" s="3" t="s">
        <v>1346</v>
      </c>
      <c r="S376" s="4">
        <v>0</v>
      </c>
      <c r="T376" s="4">
        <v>0</v>
      </c>
      <c r="U376" s="5" t="s">
        <v>3082</v>
      </c>
      <c r="V376" s="5" t="s">
        <v>3082</v>
      </c>
      <c r="W376" s="5" t="s">
        <v>3083</v>
      </c>
      <c r="X376" s="5" t="s">
        <v>3083</v>
      </c>
      <c r="Y376" s="4">
        <v>135</v>
      </c>
      <c r="Z376" s="4">
        <v>108</v>
      </c>
      <c r="AA376" s="4">
        <v>602</v>
      </c>
      <c r="AB376" s="4">
        <v>1</v>
      </c>
      <c r="AC376" s="4">
        <v>2</v>
      </c>
      <c r="AD376" s="4">
        <v>4</v>
      </c>
      <c r="AE376" s="4">
        <v>28</v>
      </c>
      <c r="AF376" s="4">
        <v>2</v>
      </c>
      <c r="AG376" s="4">
        <v>12</v>
      </c>
      <c r="AH376" s="4">
        <v>1</v>
      </c>
      <c r="AI376" s="4">
        <v>5</v>
      </c>
      <c r="AJ376" s="4">
        <v>2</v>
      </c>
      <c r="AK376" s="4">
        <v>16</v>
      </c>
      <c r="AL376" s="4">
        <v>0</v>
      </c>
      <c r="AM376" s="4">
        <v>1</v>
      </c>
      <c r="AN376" s="4">
        <v>0</v>
      </c>
      <c r="AO376" s="4">
        <v>1</v>
      </c>
      <c r="AP376" s="3" t="s">
        <v>58</v>
      </c>
      <c r="AQ376" s="3" t="s">
        <v>115</v>
      </c>
      <c r="AR376" s="6" t="str">
        <f>HYPERLINK("http://catalog.hathitrust.org/Record/005029798","HathiTrust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HYPERLINK("https://creighton-primo.hosted.exlibrisgroup.com/primo-explore/search?tab=default_tab&amp;search_scope=EVERYTHING&amp;vid=01CRU&amp;lang=en_US&amp;offset=0&amp;query=any,contains,991000463229702656","Catalog Record")</f>
        <v>Catalog Record</v>
      </c>
      <c r="AT376" s="6" t="str">
        <f>HYPERLINK("http://www.worldcat.org/oclc/57514997","WorldCat Record")</f>
        <v>WorldCat Record</v>
      </c>
    </row>
    <row r="377" spans="1:46" ht="40.5" customHeight="1" x14ac:dyDescent="0.25">
      <c r="A377" s="8" t="s">
        <v>58</v>
      </c>
      <c r="B377" s="2" t="s">
        <v>3084</v>
      </c>
      <c r="C377" s="2" t="s">
        <v>3085</v>
      </c>
      <c r="D377" s="2" t="s">
        <v>3086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1617</v>
      </c>
      <c r="L377" s="2" t="s">
        <v>3087</v>
      </c>
      <c r="M377" s="3" t="s">
        <v>1392</v>
      </c>
      <c r="N377" s="2" t="s">
        <v>143</v>
      </c>
      <c r="O377" s="3" t="s">
        <v>64</v>
      </c>
      <c r="P377" s="3" t="s">
        <v>190</v>
      </c>
      <c r="R377" s="3" t="s">
        <v>1346</v>
      </c>
      <c r="S377" s="4">
        <v>15</v>
      </c>
      <c r="T377" s="4">
        <v>15</v>
      </c>
      <c r="U377" s="5" t="s">
        <v>2979</v>
      </c>
      <c r="V377" s="5" t="s">
        <v>2979</v>
      </c>
      <c r="W377" s="5" t="s">
        <v>3088</v>
      </c>
      <c r="X377" s="5" t="s">
        <v>3088</v>
      </c>
      <c r="Y377" s="4">
        <v>151</v>
      </c>
      <c r="Z377" s="4">
        <v>124</v>
      </c>
      <c r="AA377" s="4">
        <v>205</v>
      </c>
      <c r="AB377" s="4">
        <v>1</v>
      </c>
      <c r="AC377" s="4">
        <v>2</v>
      </c>
      <c r="AD377" s="4">
        <v>9</v>
      </c>
      <c r="AE377" s="4">
        <v>12</v>
      </c>
      <c r="AF377" s="4">
        <v>4</v>
      </c>
      <c r="AG377" s="4">
        <v>5</v>
      </c>
      <c r="AH377" s="4">
        <v>2</v>
      </c>
      <c r="AI377" s="4">
        <v>2</v>
      </c>
      <c r="AJ377" s="4">
        <v>6</v>
      </c>
      <c r="AK377" s="4">
        <v>7</v>
      </c>
      <c r="AL377" s="4">
        <v>0</v>
      </c>
      <c r="AM377" s="4">
        <v>1</v>
      </c>
      <c r="AN377" s="4">
        <v>0</v>
      </c>
      <c r="AO377" s="4">
        <v>0</v>
      </c>
      <c r="AP377" s="3" t="s">
        <v>58</v>
      </c>
      <c r="AQ377" s="3" t="s">
        <v>115</v>
      </c>
      <c r="AR377" s="6" t="str">
        <f>HYPERLINK("http://catalog.hathitrust.org/Record/008513909","HathiTrust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HYPERLINK("https://creighton-primo.hosted.exlibrisgroup.com/primo-explore/search?tab=default_tab&amp;search_scope=EVERYTHING&amp;vid=01CRU&amp;lang=en_US&amp;offset=0&amp;query=any,contains,991000747989702656","Catalog Record")</f>
        <v>Catalog Record</v>
      </c>
      <c r="AT377" s="6" t="str">
        <f>HYPERLINK("http://www.worldcat.org/oclc/9875221","WorldCat Record")</f>
        <v>WorldCat Record</v>
      </c>
    </row>
    <row r="378" spans="1:46" ht="40.5" customHeight="1" x14ac:dyDescent="0.25">
      <c r="A378" s="8" t="s">
        <v>58</v>
      </c>
      <c r="B378" s="2" t="s">
        <v>3089</v>
      </c>
      <c r="C378" s="2" t="s">
        <v>3090</v>
      </c>
      <c r="D378" s="2" t="s">
        <v>3091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L378" s="2" t="s">
        <v>3092</v>
      </c>
      <c r="M378" s="3" t="s">
        <v>111</v>
      </c>
      <c r="O378" s="3" t="s">
        <v>64</v>
      </c>
      <c r="P378" s="3" t="s">
        <v>2394</v>
      </c>
      <c r="R378" s="3" t="s">
        <v>1346</v>
      </c>
      <c r="S378" s="4">
        <v>3</v>
      </c>
      <c r="T378" s="4">
        <v>3</v>
      </c>
      <c r="U378" s="5" t="s">
        <v>3093</v>
      </c>
      <c r="V378" s="5" t="s">
        <v>3093</v>
      </c>
      <c r="W378" s="5" t="s">
        <v>2230</v>
      </c>
      <c r="X378" s="5" t="s">
        <v>2230</v>
      </c>
      <c r="Y378" s="4">
        <v>101</v>
      </c>
      <c r="Z378" s="4">
        <v>73</v>
      </c>
      <c r="AA378" s="4">
        <v>83</v>
      </c>
      <c r="AB378" s="4">
        <v>1</v>
      </c>
      <c r="AC378" s="4">
        <v>1</v>
      </c>
      <c r="AD378" s="4">
        <v>2</v>
      </c>
      <c r="AE378" s="4">
        <v>2</v>
      </c>
      <c r="AF378" s="4">
        <v>0</v>
      </c>
      <c r="AG378" s="4">
        <v>0</v>
      </c>
      <c r="AH378" s="4">
        <v>1</v>
      </c>
      <c r="AI378" s="4">
        <v>1</v>
      </c>
      <c r="AJ378" s="4">
        <v>1</v>
      </c>
      <c r="AK378" s="4">
        <v>1</v>
      </c>
      <c r="AL378" s="4">
        <v>0</v>
      </c>
      <c r="AM378" s="4">
        <v>0</v>
      </c>
      <c r="AN378" s="4">
        <v>0</v>
      </c>
      <c r="AO378" s="4">
        <v>0</v>
      </c>
      <c r="AP378" s="3" t="s">
        <v>58</v>
      </c>
      <c r="AQ378" s="3" t="s">
        <v>115</v>
      </c>
      <c r="AR378" s="6" t="str">
        <f>HYPERLINK("http://catalog.hathitrust.org/Record/000725100","HathiTrust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HYPERLINK("https://creighton-primo.hosted.exlibrisgroup.com/primo-explore/search?tab=default_tab&amp;search_scope=EVERYTHING&amp;vid=01CRU&amp;lang=en_US&amp;offset=0&amp;query=any,contains,991000958049702656","Catalog Record")</f>
        <v>Catalog Record</v>
      </c>
      <c r="AT378" s="6" t="str">
        <f>HYPERLINK("http://www.worldcat.org/oclc/2425565","WorldCat Record")</f>
        <v>WorldCat Record</v>
      </c>
    </row>
    <row r="379" spans="1:46" ht="40.5" customHeight="1" x14ac:dyDescent="0.25">
      <c r="A379" s="8" t="s">
        <v>58</v>
      </c>
      <c r="B379" s="2" t="s">
        <v>3094</v>
      </c>
      <c r="C379" s="2" t="s">
        <v>3095</v>
      </c>
      <c r="D379" s="2" t="s">
        <v>3096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60</v>
      </c>
      <c r="K379" s="2" t="s">
        <v>3097</v>
      </c>
      <c r="L379" s="2" t="s">
        <v>3098</v>
      </c>
      <c r="M379" s="3" t="s">
        <v>321</v>
      </c>
      <c r="O379" s="3" t="s">
        <v>64</v>
      </c>
      <c r="P379" s="3" t="s">
        <v>643</v>
      </c>
      <c r="R379" s="3" t="s">
        <v>1346</v>
      </c>
      <c r="S379" s="4">
        <v>4</v>
      </c>
      <c r="T379" s="4">
        <v>4</v>
      </c>
      <c r="U379" s="5" t="s">
        <v>3099</v>
      </c>
      <c r="V379" s="5" t="s">
        <v>3099</v>
      </c>
      <c r="W379" s="5" t="s">
        <v>2918</v>
      </c>
      <c r="X379" s="5" t="s">
        <v>2918</v>
      </c>
      <c r="Y379" s="4">
        <v>135</v>
      </c>
      <c r="Z379" s="4">
        <v>103</v>
      </c>
      <c r="AA379" s="4">
        <v>103</v>
      </c>
      <c r="AB379" s="4">
        <v>2</v>
      </c>
      <c r="AC379" s="4">
        <v>2</v>
      </c>
      <c r="AD379" s="4">
        <v>4</v>
      </c>
      <c r="AE379" s="4">
        <v>4</v>
      </c>
      <c r="AF379" s="4">
        <v>1</v>
      </c>
      <c r="AG379" s="4">
        <v>1</v>
      </c>
      <c r="AH379" s="4">
        <v>2</v>
      </c>
      <c r="AI379" s="4">
        <v>2</v>
      </c>
      <c r="AJ379" s="4">
        <v>1</v>
      </c>
      <c r="AK379" s="4">
        <v>1</v>
      </c>
      <c r="AL379" s="4">
        <v>1</v>
      </c>
      <c r="AM379" s="4">
        <v>1</v>
      </c>
      <c r="AN379" s="4">
        <v>0</v>
      </c>
      <c r="AO379" s="4">
        <v>0</v>
      </c>
      <c r="AP379" s="3" t="s">
        <v>58</v>
      </c>
      <c r="AQ379" s="3" t="s">
        <v>58</v>
      </c>
      <c r="AS379" s="6" t="str">
        <f>HYPERLINK("https://creighton-primo.hosted.exlibrisgroup.com/primo-explore/search?tab=default_tab&amp;search_scope=EVERYTHING&amp;vid=01CRU&amp;lang=en_US&amp;offset=0&amp;query=any,contains,991000958089702656","Catalog Record")</f>
        <v>Catalog Record</v>
      </c>
      <c r="AT379" s="6" t="str">
        <f>HYPERLINK("http://www.worldcat.org/oclc/2542655","WorldCat Record")</f>
        <v>WorldCat Record</v>
      </c>
    </row>
    <row r="380" spans="1:46" ht="40.5" customHeight="1" x14ac:dyDescent="0.25">
      <c r="A380" s="8" t="s">
        <v>58</v>
      </c>
      <c r="B380" s="2" t="s">
        <v>3100</v>
      </c>
      <c r="C380" s="2" t="s">
        <v>3101</v>
      </c>
      <c r="D380" s="2" t="s">
        <v>3102</v>
      </c>
      <c r="F380" s="3" t="s">
        <v>58</v>
      </c>
      <c r="G380" s="3" t="s">
        <v>59</v>
      </c>
      <c r="H380" s="3" t="s">
        <v>58</v>
      </c>
      <c r="I380" s="3" t="s">
        <v>115</v>
      </c>
      <c r="J380" s="3" t="s">
        <v>60</v>
      </c>
      <c r="L380" s="2" t="s">
        <v>3103</v>
      </c>
      <c r="M380" s="3" t="s">
        <v>892</v>
      </c>
      <c r="N380" s="2" t="s">
        <v>143</v>
      </c>
      <c r="O380" s="3" t="s">
        <v>64</v>
      </c>
      <c r="P380" s="3" t="s">
        <v>755</v>
      </c>
      <c r="R380" s="3" t="s">
        <v>1346</v>
      </c>
      <c r="S380" s="4">
        <v>10</v>
      </c>
      <c r="T380" s="4">
        <v>10</v>
      </c>
      <c r="U380" s="5" t="s">
        <v>3104</v>
      </c>
      <c r="V380" s="5" t="s">
        <v>3104</v>
      </c>
      <c r="W380" s="5" t="s">
        <v>3105</v>
      </c>
      <c r="X380" s="5" t="s">
        <v>3105</v>
      </c>
      <c r="Y380" s="4">
        <v>274</v>
      </c>
      <c r="Z380" s="4">
        <v>224</v>
      </c>
      <c r="AA380" s="4">
        <v>391</v>
      </c>
      <c r="AB380" s="4">
        <v>2</v>
      </c>
      <c r="AC380" s="4">
        <v>3</v>
      </c>
      <c r="AD380" s="4">
        <v>14</v>
      </c>
      <c r="AE380" s="4">
        <v>18</v>
      </c>
      <c r="AF380" s="4">
        <v>4</v>
      </c>
      <c r="AG380" s="4">
        <v>6</v>
      </c>
      <c r="AH380" s="4">
        <v>3</v>
      </c>
      <c r="AI380" s="4">
        <v>4</v>
      </c>
      <c r="AJ380" s="4">
        <v>9</v>
      </c>
      <c r="AK380" s="4">
        <v>12</v>
      </c>
      <c r="AL380" s="4">
        <v>1</v>
      </c>
      <c r="AM380" s="4">
        <v>1</v>
      </c>
      <c r="AN380" s="4">
        <v>1</v>
      </c>
      <c r="AO380" s="4">
        <v>1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HYPERLINK("https://creighton-primo.hosted.exlibrisgroup.com/primo-explore/search?tab=default_tab&amp;search_scope=EVERYTHING&amp;vid=01CRU&amp;lang=en_US&amp;offset=0&amp;query=any,contains,991001412079702656","Catalog Record")</f>
        <v>Catalog Record</v>
      </c>
      <c r="AT380" s="6" t="str">
        <f>HYPERLINK("http://www.worldcat.org/oclc/38249490","WorldCat Record")</f>
        <v>WorldCat Record</v>
      </c>
    </row>
    <row r="381" spans="1:46" ht="40.5" customHeight="1" x14ac:dyDescent="0.25">
      <c r="A381" s="8" t="s">
        <v>58</v>
      </c>
      <c r="B381" s="2" t="s">
        <v>3106</v>
      </c>
      <c r="C381" s="2" t="s">
        <v>3107</v>
      </c>
      <c r="D381" s="2" t="s">
        <v>3108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1440</v>
      </c>
      <c r="L381" s="2" t="s">
        <v>3109</v>
      </c>
      <c r="M381" s="3" t="s">
        <v>921</v>
      </c>
      <c r="N381" s="2" t="s">
        <v>936</v>
      </c>
      <c r="O381" s="3" t="s">
        <v>64</v>
      </c>
      <c r="P381" s="3" t="s">
        <v>755</v>
      </c>
      <c r="R381" s="3" t="s">
        <v>1346</v>
      </c>
      <c r="S381" s="4">
        <v>3</v>
      </c>
      <c r="T381" s="4">
        <v>3</v>
      </c>
      <c r="U381" s="5" t="s">
        <v>3110</v>
      </c>
      <c r="V381" s="5" t="s">
        <v>3110</v>
      </c>
      <c r="W381" s="5" t="s">
        <v>3111</v>
      </c>
      <c r="X381" s="5" t="s">
        <v>3111</v>
      </c>
      <c r="Y381" s="4">
        <v>291</v>
      </c>
      <c r="Z381" s="4">
        <v>239</v>
      </c>
      <c r="AA381" s="4">
        <v>440</v>
      </c>
      <c r="AB381" s="4">
        <v>1</v>
      </c>
      <c r="AC381" s="4">
        <v>2</v>
      </c>
      <c r="AD381" s="4">
        <v>12</v>
      </c>
      <c r="AE381" s="4">
        <v>19</v>
      </c>
      <c r="AF381" s="4">
        <v>7</v>
      </c>
      <c r="AG381" s="4">
        <v>8</v>
      </c>
      <c r="AH381" s="4">
        <v>3</v>
      </c>
      <c r="AI381" s="4">
        <v>5</v>
      </c>
      <c r="AJ381" s="4">
        <v>3</v>
      </c>
      <c r="AK381" s="4">
        <v>8</v>
      </c>
      <c r="AL381" s="4">
        <v>0</v>
      </c>
      <c r="AM381" s="4">
        <v>1</v>
      </c>
      <c r="AN381" s="4">
        <v>0</v>
      </c>
      <c r="AO381" s="4">
        <v>0</v>
      </c>
      <c r="AP381" s="3" t="s">
        <v>58</v>
      </c>
      <c r="AQ381" s="3" t="s">
        <v>58</v>
      </c>
      <c r="AS381" s="6" t="str">
        <f>HYPERLINK("https://creighton-primo.hosted.exlibrisgroup.com/primo-explore/search?tab=default_tab&amp;search_scope=EVERYTHING&amp;vid=01CRU&amp;lang=en_US&amp;offset=0&amp;query=any,contains,991000450179702656","Catalog Record")</f>
        <v>Catalog Record</v>
      </c>
      <c r="AT381" s="6" t="str">
        <f>HYPERLINK("http://www.worldcat.org/oclc/51096022","WorldCat Record")</f>
        <v>WorldCat Record</v>
      </c>
    </row>
    <row r="382" spans="1:46" ht="40.5" customHeight="1" x14ac:dyDescent="0.25">
      <c r="A382" s="8" t="s">
        <v>58</v>
      </c>
      <c r="B382" s="2" t="s">
        <v>3112</v>
      </c>
      <c r="C382" s="2" t="s">
        <v>3113</v>
      </c>
      <c r="D382" s="2" t="s">
        <v>3114</v>
      </c>
      <c r="F382" s="3" t="s">
        <v>58</v>
      </c>
      <c r="G382" s="3" t="s">
        <v>59</v>
      </c>
      <c r="H382" s="3" t="s">
        <v>58</v>
      </c>
      <c r="I382" s="3" t="s">
        <v>115</v>
      </c>
      <c r="J382" s="3" t="s">
        <v>60</v>
      </c>
      <c r="L382" s="2" t="s">
        <v>3115</v>
      </c>
      <c r="M382" s="3" t="s">
        <v>1925</v>
      </c>
      <c r="N382" s="2" t="s">
        <v>3116</v>
      </c>
      <c r="O382" s="3" t="s">
        <v>64</v>
      </c>
      <c r="P382" s="3" t="s">
        <v>2503</v>
      </c>
      <c r="R382" s="3" t="s">
        <v>1346</v>
      </c>
      <c r="S382" s="4">
        <v>3</v>
      </c>
      <c r="T382" s="4">
        <v>3</v>
      </c>
      <c r="U382" s="5" t="s">
        <v>3104</v>
      </c>
      <c r="V382" s="5" t="s">
        <v>3104</v>
      </c>
      <c r="W382" s="5" t="s">
        <v>3117</v>
      </c>
      <c r="X382" s="5" t="s">
        <v>3117</v>
      </c>
      <c r="Y382" s="4">
        <v>48</v>
      </c>
      <c r="Z382" s="4">
        <v>29</v>
      </c>
      <c r="AA382" s="4">
        <v>557</v>
      </c>
      <c r="AB382" s="4">
        <v>1</v>
      </c>
      <c r="AC382" s="4">
        <v>3</v>
      </c>
      <c r="AD382" s="4">
        <v>0</v>
      </c>
      <c r="AE382" s="4">
        <v>20</v>
      </c>
      <c r="AF382" s="4">
        <v>0</v>
      </c>
      <c r="AG382" s="4">
        <v>11</v>
      </c>
      <c r="AH382" s="4">
        <v>0</v>
      </c>
      <c r="AI382" s="4">
        <v>2</v>
      </c>
      <c r="AJ382" s="4">
        <v>0</v>
      </c>
      <c r="AK382" s="4">
        <v>10</v>
      </c>
      <c r="AL382" s="4">
        <v>0</v>
      </c>
      <c r="AM382" s="4">
        <v>2</v>
      </c>
      <c r="AN382" s="4">
        <v>0</v>
      </c>
      <c r="AO382" s="4">
        <v>0</v>
      </c>
      <c r="AP382" s="3" t="s">
        <v>58</v>
      </c>
      <c r="AQ382" s="3" t="s">
        <v>115</v>
      </c>
      <c r="AR382" s="6" t="str">
        <f>HYPERLINK("http://catalog.hathitrust.org/Record/004271576","HathiTrust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HYPERLINK("https://creighton-primo.hosted.exlibrisgroup.com/primo-explore/search?tab=default_tab&amp;search_scope=EVERYTHING&amp;vid=01CRU&amp;lang=en_US&amp;offset=0&amp;query=any,contains,991000342779702656","Catalog Record")</f>
        <v>Catalog Record</v>
      </c>
      <c r="AT382" s="6" t="str">
        <f>HYPERLINK("http://www.worldcat.org/oclc/50439458","WorldCat Record")</f>
        <v>WorldCat Record</v>
      </c>
    </row>
    <row r="383" spans="1:46" ht="40.5" customHeight="1" x14ac:dyDescent="0.25">
      <c r="A383" s="8" t="s">
        <v>58</v>
      </c>
      <c r="B383" s="2" t="s">
        <v>3118</v>
      </c>
      <c r="C383" s="2" t="s">
        <v>3119</v>
      </c>
      <c r="D383" s="2" t="s">
        <v>3120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K383" s="2" t="s">
        <v>3121</v>
      </c>
      <c r="L383" s="2" t="s">
        <v>3122</v>
      </c>
      <c r="M383" s="3" t="s">
        <v>365</v>
      </c>
      <c r="N383" s="2" t="s">
        <v>936</v>
      </c>
      <c r="O383" s="3" t="s">
        <v>64</v>
      </c>
      <c r="P383" s="3" t="s">
        <v>3123</v>
      </c>
      <c r="R383" s="3" t="s">
        <v>1346</v>
      </c>
      <c r="S383" s="4">
        <v>5</v>
      </c>
      <c r="T383" s="4">
        <v>5</v>
      </c>
      <c r="U383" s="5" t="s">
        <v>3124</v>
      </c>
      <c r="V383" s="5" t="s">
        <v>3124</v>
      </c>
      <c r="W383" s="5" t="s">
        <v>3125</v>
      </c>
      <c r="X383" s="5" t="s">
        <v>3125</v>
      </c>
      <c r="Y383" s="4">
        <v>295</v>
      </c>
      <c r="Z383" s="4">
        <v>271</v>
      </c>
      <c r="AA383" s="4">
        <v>908</v>
      </c>
      <c r="AB383" s="4">
        <v>1</v>
      </c>
      <c r="AC383" s="4">
        <v>7</v>
      </c>
      <c r="AD383" s="4">
        <v>6</v>
      </c>
      <c r="AE383" s="4">
        <v>26</v>
      </c>
      <c r="AF383" s="4">
        <v>2</v>
      </c>
      <c r="AG383" s="4">
        <v>10</v>
      </c>
      <c r="AH383" s="4">
        <v>1</v>
      </c>
      <c r="AI383" s="4">
        <v>5</v>
      </c>
      <c r="AJ383" s="4">
        <v>4</v>
      </c>
      <c r="AK383" s="4">
        <v>12</v>
      </c>
      <c r="AL383" s="4">
        <v>0</v>
      </c>
      <c r="AM383" s="4">
        <v>5</v>
      </c>
      <c r="AN383" s="4">
        <v>0</v>
      </c>
      <c r="AO383" s="4">
        <v>0</v>
      </c>
      <c r="AP383" s="3" t="s">
        <v>58</v>
      </c>
      <c r="AQ383" s="3" t="s">
        <v>115</v>
      </c>
      <c r="AR383" s="6" t="str">
        <f>HYPERLINK("http://catalog.hathitrust.org/Record/003950415","HathiTrust Record")</f>
        <v>HathiTrust Record</v>
      </c>
      <c r="AS383" s="6" t="str">
        <f>HYPERLINK("https://creighton-primo.hosted.exlibrisgroup.com/primo-explore/search?tab=default_tab&amp;search_scope=EVERYTHING&amp;vid=01CRU&amp;lang=en_US&amp;offset=0&amp;query=any,contains,991001571689702656","Catalog Record")</f>
        <v>Catalog Record</v>
      </c>
      <c r="AT383" s="6" t="str">
        <f>HYPERLINK("http://www.worldcat.org/oclc/36662705","WorldCat Record")</f>
        <v>WorldCat Record</v>
      </c>
    </row>
    <row r="384" spans="1:46" ht="40.5" customHeight="1" x14ac:dyDescent="0.25">
      <c r="A384" s="8" t="s">
        <v>58</v>
      </c>
      <c r="B384" s="2" t="s">
        <v>3126</v>
      </c>
      <c r="C384" s="2" t="s">
        <v>3127</v>
      </c>
      <c r="D384" s="2" t="s">
        <v>3128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59</v>
      </c>
      <c r="K384" s="2" t="s">
        <v>3129</v>
      </c>
      <c r="L384" s="2" t="s">
        <v>3130</v>
      </c>
      <c r="M384" s="3" t="s">
        <v>1023</v>
      </c>
      <c r="N384" s="2" t="s">
        <v>174</v>
      </c>
      <c r="O384" s="3" t="s">
        <v>64</v>
      </c>
      <c r="P384" s="3" t="s">
        <v>755</v>
      </c>
      <c r="R384" s="3" t="s">
        <v>1346</v>
      </c>
      <c r="S384" s="4">
        <v>1</v>
      </c>
      <c r="T384" s="4">
        <v>1</v>
      </c>
      <c r="U384" s="5" t="s">
        <v>3131</v>
      </c>
      <c r="V384" s="5" t="s">
        <v>3131</v>
      </c>
      <c r="W384" s="5" t="s">
        <v>3132</v>
      </c>
      <c r="X384" s="5" t="s">
        <v>3132</v>
      </c>
      <c r="Y384" s="4">
        <v>160</v>
      </c>
      <c r="Z384" s="4">
        <v>110</v>
      </c>
      <c r="AA384" s="4">
        <v>863</v>
      </c>
      <c r="AB384" s="4">
        <v>1</v>
      </c>
      <c r="AC384" s="4">
        <v>13</v>
      </c>
      <c r="AD384" s="4">
        <v>6</v>
      </c>
      <c r="AE384" s="4">
        <v>42</v>
      </c>
      <c r="AF384" s="4">
        <v>4</v>
      </c>
      <c r="AG384" s="4">
        <v>14</v>
      </c>
      <c r="AH384" s="4">
        <v>0</v>
      </c>
      <c r="AI384" s="4">
        <v>10</v>
      </c>
      <c r="AJ384" s="4">
        <v>4</v>
      </c>
      <c r="AK384" s="4">
        <v>13</v>
      </c>
      <c r="AL384" s="4">
        <v>0</v>
      </c>
      <c r="AM384" s="4">
        <v>11</v>
      </c>
      <c r="AN384" s="4">
        <v>0</v>
      </c>
      <c r="AO384" s="4">
        <v>1</v>
      </c>
      <c r="AP384" s="3" t="s">
        <v>58</v>
      </c>
      <c r="AQ384" s="3" t="s">
        <v>58</v>
      </c>
      <c r="AS384" s="6" t="str">
        <f>HYPERLINK("https://creighton-primo.hosted.exlibrisgroup.com/primo-explore/search?tab=default_tab&amp;search_scope=EVERYTHING&amp;vid=01CRU&amp;lang=en_US&amp;offset=0&amp;query=any,contains,991001362799702656","Catalog Record")</f>
        <v>Catalog Record</v>
      </c>
      <c r="AT384" s="6" t="str">
        <f>HYPERLINK("http://www.worldcat.org/oclc/70867055","WorldCat Record")</f>
        <v>WorldCat Record</v>
      </c>
    </row>
    <row r="385" spans="1:46" ht="40.5" customHeight="1" x14ac:dyDescent="0.25">
      <c r="A385" s="8" t="s">
        <v>58</v>
      </c>
      <c r="B385" s="2" t="s">
        <v>3133</v>
      </c>
      <c r="C385" s="2" t="s">
        <v>3134</v>
      </c>
      <c r="D385" s="2" t="s">
        <v>3000</v>
      </c>
      <c r="F385" s="3" t="s">
        <v>58</v>
      </c>
      <c r="G385" s="3" t="s">
        <v>59</v>
      </c>
      <c r="H385" s="3" t="s">
        <v>58</v>
      </c>
      <c r="I385" s="3" t="s">
        <v>115</v>
      </c>
      <c r="J385" s="3" t="s">
        <v>60</v>
      </c>
      <c r="K385" s="2" t="s">
        <v>3001</v>
      </c>
      <c r="L385" s="2" t="s">
        <v>3135</v>
      </c>
      <c r="M385" s="3" t="s">
        <v>365</v>
      </c>
      <c r="N385" s="2" t="s">
        <v>143</v>
      </c>
      <c r="O385" s="3" t="s">
        <v>64</v>
      </c>
      <c r="P385" s="3" t="s">
        <v>1406</v>
      </c>
      <c r="R385" s="3" t="s">
        <v>1346</v>
      </c>
      <c r="S385" s="4">
        <v>12</v>
      </c>
      <c r="T385" s="4">
        <v>12</v>
      </c>
      <c r="U385" s="5" t="s">
        <v>3066</v>
      </c>
      <c r="V385" s="5" t="s">
        <v>3066</v>
      </c>
      <c r="W385" s="5" t="s">
        <v>3136</v>
      </c>
      <c r="X385" s="5" t="s">
        <v>3136</v>
      </c>
      <c r="Y385" s="4">
        <v>211</v>
      </c>
      <c r="Z385" s="4">
        <v>178</v>
      </c>
      <c r="AA385" s="4">
        <v>535</v>
      </c>
      <c r="AB385" s="4">
        <v>1</v>
      </c>
      <c r="AC385" s="4">
        <v>2</v>
      </c>
      <c r="AD385" s="4">
        <v>5</v>
      </c>
      <c r="AE385" s="4">
        <v>22</v>
      </c>
      <c r="AF385" s="4">
        <v>1</v>
      </c>
      <c r="AG385" s="4">
        <v>12</v>
      </c>
      <c r="AH385" s="4">
        <v>2</v>
      </c>
      <c r="AI385" s="4">
        <v>4</v>
      </c>
      <c r="AJ385" s="4">
        <v>3</v>
      </c>
      <c r="AK385" s="4">
        <v>12</v>
      </c>
      <c r="AL385" s="4">
        <v>0</v>
      </c>
      <c r="AM385" s="4">
        <v>0</v>
      </c>
      <c r="AN385" s="4">
        <v>0</v>
      </c>
      <c r="AO385" s="4">
        <v>0</v>
      </c>
      <c r="AP385" s="3" t="s">
        <v>58</v>
      </c>
      <c r="AQ385" s="3" t="s">
        <v>115</v>
      </c>
      <c r="AR385" s="6" t="str">
        <f>HYPERLINK("http://catalog.hathitrust.org/Record/003110346","HathiTrust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HYPERLINK("https://creighton-primo.hosted.exlibrisgroup.com/primo-explore/search?tab=default_tab&amp;search_scope=EVERYTHING&amp;vid=01CRU&amp;lang=en_US&amp;offset=0&amp;query=any,contains,991001558779702656","Catalog Record")</f>
        <v>Catalog Record</v>
      </c>
      <c r="AT385" s="6" t="str">
        <f>HYPERLINK("http://www.worldcat.org/oclc/34283728","WorldCat Record")</f>
        <v>WorldCat Record</v>
      </c>
    </row>
    <row r="386" spans="1:46" ht="40.5" customHeight="1" x14ac:dyDescent="0.25">
      <c r="A386" s="8" t="s">
        <v>58</v>
      </c>
      <c r="B386" s="2" t="s">
        <v>3137</v>
      </c>
      <c r="C386" s="2" t="s">
        <v>3138</v>
      </c>
      <c r="D386" s="2" t="s">
        <v>3139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K386" s="2" t="s">
        <v>3140</v>
      </c>
      <c r="L386" s="2" t="s">
        <v>3141</v>
      </c>
      <c r="M386" s="3" t="s">
        <v>173</v>
      </c>
      <c r="O386" s="3" t="s">
        <v>64</v>
      </c>
      <c r="P386" s="3" t="s">
        <v>65</v>
      </c>
      <c r="R386" s="3" t="s">
        <v>1346</v>
      </c>
      <c r="S386" s="4">
        <v>7</v>
      </c>
      <c r="T386" s="4">
        <v>7</v>
      </c>
      <c r="U386" s="5" t="s">
        <v>3142</v>
      </c>
      <c r="V386" s="5" t="s">
        <v>3142</v>
      </c>
      <c r="W386" s="5" t="s">
        <v>3143</v>
      </c>
      <c r="X386" s="5" t="s">
        <v>3143</v>
      </c>
      <c r="Y386" s="4">
        <v>95</v>
      </c>
      <c r="Z386" s="4">
        <v>83</v>
      </c>
      <c r="AA386" s="4">
        <v>91</v>
      </c>
      <c r="AB386" s="4">
        <v>1</v>
      </c>
      <c r="AC386" s="4">
        <v>1</v>
      </c>
      <c r="AD386" s="4">
        <v>2</v>
      </c>
      <c r="AE386" s="4">
        <v>3</v>
      </c>
      <c r="AF386" s="4">
        <v>0</v>
      </c>
      <c r="AG386" s="4">
        <v>1</v>
      </c>
      <c r="AH386" s="4">
        <v>1</v>
      </c>
      <c r="AI386" s="4">
        <v>1</v>
      </c>
      <c r="AJ386" s="4">
        <v>1</v>
      </c>
      <c r="AK386" s="4">
        <v>1</v>
      </c>
      <c r="AL386" s="4">
        <v>0</v>
      </c>
      <c r="AM386" s="4">
        <v>0</v>
      </c>
      <c r="AN386" s="4">
        <v>0</v>
      </c>
      <c r="AO386" s="4">
        <v>0</v>
      </c>
      <c r="AP386" s="3" t="s">
        <v>58</v>
      </c>
      <c r="AQ386" s="3" t="s">
        <v>115</v>
      </c>
      <c r="AR386" s="6" t="str">
        <f>HYPERLINK("http://catalog.hathitrust.org/Record/003101882","HathiTrust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HYPERLINK("https://creighton-primo.hosted.exlibrisgroup.com/primo-explore/search?tab=default_tab&amp;search_scope=EVERYTHING&amp;vid=01CRU&amp;lang=en_US&amp;offset=0&amp;query=any,contains,991000853149702656","Catalog Record")</f>
        <v>Catalog Record</v>
      </c>
      <c r="AT386" s="6" t="str">
        <f>HYPERLINK("http://www.worldcat.org/oclc/32205567","WorldCat Record")</f>
        <v>WorldCat Record</v>
      </c>
    </row>
    <row r="387" spans="1:46" ht="40.5" customHeight="1" x14ac:dyDescent="0.25">
      <c r="A387" s="8" t="s">
        <v>58</v>
      </c>
      <c r="B387" s="2" t="s">
        <v>3144</v>
      </c>
      <c r="C387" s="2" t="s">
        <v>3145</v>
      </c>
      <c r="D387" s="2" t="s">
        <v>3146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L387" s="2" t="s">
        <v>3147</v>
      </c>
      <c r="M387" s="3" t="s">
        <v>1925</v>
      </c>
      <c r="O387" s="3" t="s">
        <v>64</v>
      </c>
      <c r="P387" s="3" t="s">
        <v>65</v>
      </c>
      <c r="R387" s="3" t="s">
        <v>1346</v>
      </c>
      <c r="S387" s="4">
        <v>7</v>
      </c>
      <c r="T387" s="4">
        <v>7</v>
      </c>
      <c r="U387" s="5" t="s">
        <v>3148</v>
      </c>
      <c r="V387" s="5" t="s">
        <v>3148</v>
      </c>
      <c r="W387" s="5" t="s">
        <v>3149</v>
      </c>
      <c r="X387" s="5" t="s">
        <v>3149</v>
      </c>
      <c r="Y387" s="4">
        <v>369</v>
      </c>
      <c r="Z387" s="4">
        <v>307</v>
      </c>
      <c r="AA387" s="4">
        <v>334</v>
      </c>
      <c r="AB387" s="4">
        <v>3</v>
      </c>
      <c r="AC387" s="4">
        <v>3</v>
      </c>
      <c r="AD387" s="4">
        <v>20</v>
      </c>
      <c r="AE387" s="4">
        <v>20</v>
      </c>
      <c r="AF387" s="4">
        <v>8</v>
      </c>
      <c r="AG387" s="4">
        <v>8</v>
      </c>
      <c r="AH387" s="4">
        <v>7</v>
      </c>
      <c r="AI387" s="4">
        <v>7</v>
      </c>
      <c r="AJ387" s="4">
        <v>8</v>
      </c>
      <c r="AK387" s="4">
        <v>8</v>
      </c>
      <c r="AL387" s="4">
        <v>1</v>
      </c>
      <c r="AM387" s="4">
        <v>1</v>
      </c>
      <c r="AN387" s="4">
        <v>1</v>
      </c>
      <c r="AO387" s="4">
        <v>1</v>
      </c>
      <c r="AP387" s="3" t="s">
        <v>58</v>
      </c>
      <c r="AQ387" s="3" t="s">
        <v>115</v>
      </c>
      <c r="AR387" s="6" t="str">
        <f>HYPERLINK("http://catalog.hathitrust.org/Record/004270230","HathiTrust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HYPERLINK("https://creighton-primo.hosted.exlibrisgroup.com/primo-explore/search?tab=default_tab&amp;search_scope=EVERYTHING&amp;vid=01CRU&amp;lang=en_US&amp;offset=0&amp;query=any,contains,991000392689702656","Catalog Record")</f>
        <v>Catalog Record</v>
      </c>
      <c r="AT387" s="6" t="str">
        <f>HYPERLINK("http://www.worldcat.org/oclc/47049973","WorldCat Record")</f>
        <v>WorldCat Record</v>
      </c>
    </row>
    <row r="388" spans="1:46" ht="40.5" customHeight="1" x14ac:dyDescent="0.25">
      <c r="A388" s="8" t="s">
        <v>58</v>
      </c>
      <c r="B388" s="2" t="s">
        <v>3150</v>
      </c>
      <c r="C388" s="2" t="s">
        <v>3151</v>
      </c>
      <c r="D388" s="2" t="s">
        <v>3152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K388" s="2" t="s">
        <v>3153</v>
      </c>
      <c r="L388" s="2" t="s">
        <v>3154</v>
      </c>
      <c r="M388" s="3" t="s">
        <v>206</v>
      </c>
      <c r="O388" s="3" t="s">
        <v>64</v>
      </c>
      <c r="P388" s="3" t="s">
        <v>65</v>
      </c>
      <c r="R388" s="3" t="s">
        <v>1346</v>
      </c>
      <c r="S388" s="4">
        <v>2</v>
      </c>
      <c r="T388" s="4">
        <v>2</v>
      </c>
      <c r="U388" s="5" t="s">
        <v>3155</v>
      </c>
      <c r="V388" s="5" t="s">
        <v>3155</v>
      </c>
      <c r="W388" s="5" t="s">
        <v>3156</v>
      </c>
      <c r="X388" s="5" t="s">
        <v>3156</v>
      </c>
      <c r="Y388" s="4">
        <v>124</v>
      </c>
      <c r="Z388" s="4">
        <v>107</v>
      </c>
      <c r="AA388" s="4">
        <v>109</v>
      </c>
      <c r="AB388" s="4">
        <v>1</v>
      </c>
      <c r="AC388" s="4">
        <v>1</v>
      </c>
      <c r="AD388" s="4">
        <v>4</v>
      </c>
      <c r="AE388" s="4">
        <v>4</v>
      </c>
      <c r="AF388" s="4">
        <v>0</v>
      </c>
      <c r="AG388" s="4">
        <v>0</v>
      </c>
      <c r="AH388" s="4">
        <v>2</v>
      </c>
      <c r="AI388" s="4">
        <v>2</v>
      </c>
      <c r="AJ388" s="4">
        <v>3</v>
      </c>
      <c r="AK388" s="4">
        <v>3</v>
      </c>
      <c r="AL388" s="4">
        <v>0</v>
      </c>
      <c r="AM388" s="4">
        <v>0</v>
      </c>
      <c r="AN388" s="4">
        <v>0</v>
      </c>
      <c r="AO388" s="4">
        <v>0</v>
      </c>
      <c r="AP388" s="3" t="s">
        <v>58</v>
      </c>
      <c r="AQ388" s="3" t="s">
        <v>58</v>
      </c>
      <c r="AR388" s="6" t="str">
        <f>HYPERLINK("http://catalog.hathitrust.org/Record/001564600","HathiTrust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HYPERLINK("https://creighton-primo.hosted.exlibrisgroup.com/primo-explore/search?tab=default_tab&amp;search_scope=EVERYTHING&amp;vid=01CRU&amp;lang=en_US&amp;offset=0&amp;query=any,contains,991000958169702656","Catalog Record")</f>
        <v>Catalog Record</v>
      </c>
      <c r="AT388" s="6" t="str">
        <f>HYPERLINK("http://www.worldcat.org/oclc/522421","WorldCat Record")</f>
        <v>WorldCat Record</v>
      </c>
    </row>
    <row r="389" spans="1:46" ht="40.5" customHeight="1" x14ac:dyDescent="0.25">
      <c r="A389" s="8" t="s">
        <v>58</v>
      </c>
      <c r="B389" s="2" t="s">
        <v>3157</v>
      </c>
      <c r="C389" s="2" t="s">
        <v>3158</v>
      </c>
      <c r="D389" s="2" t="s">
        <v>3159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L389" s="2" t="s">
        <v>3160</v>
      </c>
      <c r="M389" s="3" t="s">
        <v>1414</v>
      </c>
      <c r="O389" s="3" t="s">
        <v>64</v>
      </c>
      <c r="P389" s="3" t="s">
        <v>1355</v>
      </c>
      <c r="Q389" s="2" t="s">
        <v>3161</v>
      </c>
      <c r="R389" s="3" t="s">
        <v>1346</v>
      </c>
      <c r="S389" s="4">
        <v>19</v>
      </c>
      <c r="T389" s="4">
        <v>19</v>
      </c>
      <c r="U389" s="5" t="s">
        <v>3162</v>
      </c>
      <c r="V389" s="5" t="s">
        <v>3162</v>
      </c>
      <c r="W389" s="5" t="s">
        <v>2918</v>
      </c>
      <c r="X389" s="5" t="s">
        <v>2918</v>
      </c>
      <c r="Y389" s="4">
        <v>180</v>
      </c>
      <c r="Z389" s="4">
        <v>139</v>
      </c>
      <c r="AA389" s="4">
        <v>142</v>
      </c>
      <c r="AB389" s="4">
        <v>2</v>
      </c>
      <c r="AC389" s="4">
        <v>2</v>
      </c>
      <c r="AD389" s="4">
        <v>4</v>
      </c>
      <c r="AE389" s="4">
        <v>5</v>
      </c>
      <c r="AF389" s="4">
        <v>1</v>
      </c>
      <c r="AG389" s="4">
        <v>2</v>
      </c>
      <c r="AH389" s="4">
        <v>2</v>
      </c>
      <c r="AI389" s="4">
        <v>2</v>
      </c>
      <c r="AJ389" s="4">
        <v>2</v>
      </c>
      <c r="AK389" s="4">
        <v>3</v>
      </c>
      <c r="AL389" s="4">
        <v>1</v>
      </c>
      <c r="AM389" s="4">
        <v>1</v>
      </c>
      <c r="AN389" s="4">
        <v>0</v>
      </c>
      <c r="AO389" s="4">
        <v>0</v>
      </c>
      <c r="AP389" s="3" t="s">
        <v>58</v>
      </c>
      <c r="AQ389" s="3" t="s">
        <v>115</v>
      </c>
      <c r="AR389" s="6" t="str">
        <f>HYPERLINK("http://catalog.hathitrust.org/Record/000119913","HathiTrust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HYPERLINK("https://creighton-primo.hosted.exlibrisgroup.com/primo-explore/search?tab=default_tab&amp;search_scope=EVERYTHING&amp;vid=01CRU&amp;lang=en_US&amp;offset=0&amp;query=any,contains,991000958129702656","Catalog Record")</f>
        <v>Catalog Record</v>
      </c>
      <c r="AT389" s="6" t="str">
        <f>HYPERLINK("http://www.worldcat.org/oclc/10324237","WorldCat Record")</f>
        <v>WorldCat Record</v>
      </c>
    </row>
    <row r="390" spans="1:46" ht="40.5" customHeight="1" x14ac:dyDescent="0.25">
      <c r="A390" s="8" t="s">
        <v>58</v>
      </c>
      <c r="B390" s="2" t="s">
        <v>3163</v>
      </c>
      <c r="C390" s="2" t="s">
        <v>3164</v>
      </c>
      <c r="D390" s="2" t="s">
        <v>3165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3166</v>
      </c>
      <c r="L390" s="2" t="s">
        <v>3167</v>
      </c>
      <c r="M390" s="3" t="s">
        <v>1414</v>
      </c>
      <c r="O390" s="3" t="s">
        <v>64</v>
      </c>
      <c r="P390" s="3" t="s">
        <v>1822</v>
      </c>
      <c r="R390" s="3" t="s">
        <v>1346</v>
      </c>
      <c r="S390" s="4">
        <v>13</v>
      </c>
      <c r="T390" s="4">
        <v>13</v>
      </c>
      <c r="U390" s="5" t="s">
        <v>3148</v>
      </c>
      <c r="V390" s="5" t="s">
        <v>3148</v>
      </c>
      <c r="W390" s="5" t="s">
        <v>2918</v>
      </c>
      <c r="X390" s="5" t="s">
        <v>2918</v>
      </c>
      <c r="Y390" s="4">
        <v>236</v>
      </c>
      <c r="Z390" s="4">
        <v>185</v>
      </c>
      <c r="AA390" s="4">
        <v>189</v>
      </c>
      <c r="AB390" s="4">
        <v>2</v>
      </c>
      <c r="AC390" s="4">
        <v>2</v>
      </c>
      <c r="AD390" s="4">
        <v>6</v>
      </c>
      <c r="AE390" s="4">
        <v>6</v>
      </c>
      <c r="AF390" s="4">
        <v>2</v>
      </c>
      <c r="AG390" s="4">
        <v>2</v>
      </c>
      <c r="AH390" s="4">
        <v>2</v>
      </c>
      <c r="AI390" s="4">
        <v>2</v>
      </c>
      <c r="AJ390" s="4">
        <v>4</v>
      </c>
      <c r="AK390" s="4">
        <v>4</v>
      </c>
      <c r="AL390" s="4">
        <v>1</v>
      </c>
      <c r="AM390" s="4">
        <v>1</v>
      </c>
      <c r="AN390" s="4">
        <v>0</v>
      </c>
      <c r="AO390" s="4">
        <v>0</v>
      </c>
      <c r="AP390" s="3" t="s">
        <v>58</v>
      </c>
      <c r="AQ390" s="3" t="s">
        <v>115</v>
      </c>
      <c r="AR390" s="6" t="str">
        <f>HYPERLINK("http://catalog.hathitrust.org/Record/000166420","HathiTrust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HYPERLINK("https://creighton-primo.hosted.exlibrisgroup.com/primo-explore/search?tab=default_tab&amp;search_scope=EVERYTHING&amp;vid=01CRU&amp;lang=en_US&amp;offset=0&amp;query=any,contains,991000958209702656","Catalog Record")</f>
        <v>Catalog Record</v>
      </c>
      <c r="AT390" s="6" t="str">
        <f>HYPERLINK("http://www.worldcat.org/oclc/10876194","WorldCat Record")</f>
        <v>WorldCat Record</v>
      </c>
    </row>
    <row r="391" spans="1:46" ht="40.5" customHeight="1" x14ac:dyDescent="0.25">
      <c r="A391" s="8" t="s">
        <v>58</v>
      </c>
      <c r="B391" s="2" t="s">
        <v>3168</v>
      </c>
      <c r="C391" s="2" t="s">
        <v>3169</v>
      </c>
      <c r="D391" s="2" t="s">
        <v>3170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L391" s="2" t="s">
        <v>3171</v>
      </c>
      <c r="M391" s="3" t="s">
        <v>408</v>
      </c>
      <c r="O391" s="3" t="s">
        <v>64</v>
      </c>
      <c r="P391" s="3" t="s">
        <v>1512</v>
      </c>
      <c r="Q391" s="2" t="s">
        <v>3172</v>
      </c>
      <c r="R391" s="3" t="s">
        <v>1346</v>
      </c>
      <c r="S391" s="4">
        <v>5</v>
      </c>
      <c r="T391" s="4">
        <v>5</v>
      </c>
      <c r="U391" s="5" t="s">
        <v>3173</v>
      </c>
      <c r="V391" s="5" t="s">
        <v>3173</v>
      </c>
      <c r="W391" s="5" t="s">
        <v>2918</v>
      </c>
      <c r="X391" s="5" t="s">
        <v>2918</v>
      </c>
      <c r="Y391" s="4">
        <v>130</v>
      </c>
      <c r="Z391" s="4">
        <v>90</v>
      </c>
      <c r="AA391" s="4">
        <v>92</v>
      </c>
      <c r="AB391" s="4">
        <v>1</v>
      </c>
      <c r="AC391" s="4">
        <v>1</v>
      </c>
      <c r="AD391" s="4">
        <v>1</v>
      </c>
      <c r="AE391" s="4">
        <v>1</v>
      </c>
      <c r="AF391" s="4">
        <v>0</v>
      </c>
      <c r="AG391" s="4">
        <v>0</v>
      </c>
      <c r="AH391" s="4">
        <v>0</v>
      </c>
      <c r="AI391" s="4">
        <v>0</v>
      </c>
      <c r="AJ391" s="4">
        <v>1</v>
      </c>
      <c r="AK391" s="4">
        <v>1</v>
      </c>
      <c r="AL391" s="4">
        <v>0</v>
      </c>
      <c r="AM391" s="4">
        <v>0</v>
      </c>
      <c r="AN391" s="4">
        <v>0</v>
      </c>
      <c r="AO391" s="4">
        <v>0</v>
      </c>
      <c r="AP391" s="3" t="s">
        <v>58</v>
      </c>
      <c r="AQ391" s="3" t="s">
        <v>115</v>
      </c>
      <c r="AR391" s="6" t="str">
        <f>HYPERLINK("http://catalog.hathitrust.org/Record/000352179","HathiTrust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HYPERLINK("https://creighton-primo.hosted.exlibrisgroup.com/primo-explore/search?tab=default_tab&amp;search_scope=EVERYTHING&amp;vid=01CRU&amp;lang=en_US&amp;offset=0&amp;query=any,contains,991000958249702656","Catalog Record")</f>
        <v>Catalog Record</v>
      </c>
      <c r="AT391" s="6" t="str">
        <f>HYPERLINK("http://www.worldcat.org/oclc/11550436","WorldCat Record")</f>
        <v>WorldCat Record</v>
      </c>
    </row>
    <row r="392" spans="1:46" ht="40.5" customHeight="1" x14ac:dyDescent="0.25">
      <c r="A392" s="8" t="s">
        <v>58</v>
      </c>
      <c r="B392" s="2" t="s">
        <v>3174</v>
      </c>
      <c r="C392" s="2" t="s">
        <v>3175</v>
      </c>
      <c r="D392" s="2" t="s">
        <v>3176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L392" s="2" t="s">
        <v>3177</v>
      </c>
      <c r="M392" s="3" t="s">
        <v>1122</v>
      </c>
      <c r="O392" s="3" t="s">
        <v>64</v>
      </c>
      <c r="P392" s="3" t="s">
        <v>1355</v>
      </c>
      <c r="R392" s="3" t="s">
        <v>1346</v>
      </c>
      <c r="S392" s="4">
        <v>12</v>
      </c>
      <c r="T392" s="4">
        <v>12</v>
      </c>
      <c r="U392" s="5" t="s">
        <v>3178</v>
      </c>
      <c r="V392" s="5" t="s">
        <v>3178</v>
      </c>
      <c r="W392" s="5" t="s">
        <v>3179</v>
      </c>
      <c r="X392" s="5" t="s">
        <v>3179</v>
      </c>
      <c r="Y392" s="4">
        <v>196</v>
      </c>
      <c r="Z392" s="4">
        <v>152</v>
      </c>
      <c r="AA392" s="4">
        <v>159</v>
      </c>
      <c r="AB392" s="4">
        <v>1</v>
      </c>
      <c r="AC392" s="4">
        <v>1</v>
      </c>
      <c r="AD392" s="4">
        <v>6</v>
      </c>
      <c r="AE392" s="4">
        <v>6</v>
      </c>
      <c r="AF392" s="4">
        <v>3</v>
      </c>
      <c r="AG392" s="4">
        <v>3</v>
      </c>
      <c r="AH392" s="4">
        <v>1</v>
      </c>
      <c r="AI392" s="4">
        <v>1</v>
      </c>
      <c r="AJ392" s="4">
        <v>3</v>
      </c>
      <c r="AK392" s="4">
        <v>3</v>
      </c>
      <c r="AL392" s="4">
        <v>0</v>
      </c>
      <c r="AM392" s="4">
        <v>0</v>
      </c>
      <c r="AN392" s="4">
        <v>0</v>
      </c>
      <c r="AO392" s="4">
        <v>0</v>
      </c>
      <c r="AP392" s="3" t="s">
        <v>58</v>
      </c>
      <c r="AQ392" s="3" t="s">
        <v>115</v>
      </c>
      <c r="AR392" s="6" t="str">
        <f>HYPERLINK("http://catalog.hathitrust.org/Record/002424172","HathiTrust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HYPERLINK("https://creighton-primo.hosted.exlibrisgroup.com/primo-explore/search?tab=default_tab&amp;search_scope=EVERYTHING&amp;vid=01CRU&amp;lang=en_US&amp;offset=0&amp;query=any,contains,991000775869702656","Catalog Record")</f>
        <v>Catalog Record</v>
      </c>
      <c r="AT392" s="6" t="str">
        <f>HYPERLINK("http://www.worldcat.org/oclc/21408616","WorldCat Record")</f>
        <v>WorldCat Record</v>
      </c>
    </row>
    <row r="393" spans="1:46" ht="40.5" customHeight="1" x14ac:dyDescent="0.25">
      <c r="A393" s="8" t="s">
        <v>58</v>
      </c>
      <c r="B393" s="2" t="s">
        <v>3180</v>
      </c>
      <c r="C393" s="2" t="s">
        <v>3181</v>
      </c>
      <c r="D393" s="2" t="s">
        <v>3182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3183</v>
      </c>
      <c r="L393" s="2" t="s">
        <v>3184</v>
      </c>
      <c r="M393" s="3" t="s">
        <v>515</v>
      </c>
      <c r="O393" s="3" t="s">
        <v>64</v>
      </c>
      <c r="P393" s="3" t="s">
        <v>1355</v>
      </c>
      <c r="R393" s="3" t="s">
        <v>1346</v>
      </c>
      <c r="S393" s="4">
        <v>6</v>
      </c>
      <c r="T393" s="4">
        <v>6</v>
      </c>
      <c r="U393" s="5" t="s">
        <v>3185</v>
      </c>
      <c r="V393" s="5" t="s">
        <v>3185</v>
      </c>
      <c r="W393" s="5" t="s">
        <v>2918</v>
      </c>
      <c r="X393" s="5" t="s">
        <v>2918</v>
      </c>
      <c r="Y393" s="4">
        <v>152</v>
      </c>
      <c r="Z393" s="4">
        <v>116</v>
      </c>
      <c r="AA393" s="4">
        <v>132</v>
      </c>
      <c r="AB393" s="4">
        <v>1</v>
      </c>
      <c r="AC393" s="4">
        <v>1</v>
      </c>
      <c r="AD393" s="4">
        <v>4</v>
      </c>
      <c r="AE393" s="4">
        <v>4</v>
      </c>
      <c r="AF393" s="4">
        <v>1</v>
      </c>
      <c r="AG393" s="4">
        <v>1</v>
      </c>
      <c r="AH393" s="4">
        <v>1</v>
      </c>
      <c r="AI393" s="4">
        <v>1</v>
      </c>
      <c r="AJ393" s="4">
        <v>3</v>
      </c>
      <c r="AK393" s="4">
        <v>3</v>
      </c>
      <c r="AL393" s="4">
        <v>0</v>
      </c>
      <c r="AM393" s="4">
        <v>0</v>
      </c>
      <c r="AN393" s="4">
        <v>0</v>
      </c>
      <c r="AO393" s="4">
        <v>0</v>
      </c>
      <c r="AP393" s="3" t="s">
        <v>58</v>
      </c>
      <c r="AQ393" s="3" t="s">
        <v>58</v>
      </c>
      <c r="AS393" s="6" t="str">
        <f>HYPERLINK("https://creighton-primo.hosted.exlibrisgroup.com/primo-explore/search?tab=default_tab&amp;search_scope=EVERYTHING&amp;vid=01CRU&amp;lang=en_US&amp;offset=0&amp;query=any,contains,991000958289702656","Catalog Record")</f>
        <v>Catalog Record</v>
      </c>
      <c r="AT393" s="6" t="str">
        <f>HYPERLINK("http://www.worldcat.org/oclc/12943514","WorldCat Record")</f>
        <v>WorldCat Record</v>
      </c>
    </row>
    <row r="394" spans="1:46" ht="40.5" customHeight="1" x14ac:dyDescent="0.25">
      <c r="A394" s="8" t="s">
        <v>58</v>
      </c>
      <c r="B394" s="2" t="s">
        <v>3186</v>
      </c>
      <c r="C394" s="2" t="s">
        <v>3187</v>
      </c>
      <c r="D394" s="2" t="s">
        <v>3188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3189</v>
      </c>
      <c r="L394" s="2" t="s">
        <v>3190</v>
      </c>
      <c r="M394" s="3" t="s">
        <v>408</v>
      </c>
      <c r="N394" s="2" t="s">
        <v>143</v>
      </c>
      <c r="O394" s="3" t="s">
        <v>64</v>
      </c>
      <c r="P394" s="3" t="s">
        <v>112</v>
      </c>
      <c r="R394" s="3" t="s">
        <v>1346</v>
      </c>
      <c r="S394" s="4">
        <v>9</v>
      </c>
      <c r="T394" s="4">
        <v>9</v>
      </c>
      <c r="U394" s="5" t="s">
        <v>3178</v>
      </c>
      <c r="V394" s="5" t="s">
        <v>3178</v>
      </c>
      <c r="W394" s="5" t="s">
        <v>2918</v>
      </c>
      <c r="X394" s="5" t="s">
        <v>2918</v>
      </c>
      <c r="Y394" s="4">
        <v>159</v>
      </c>
      <c r="Z394" s="4">
        <v>97</v>
      </c>
      <c r="AA394" s="4">
        <v>235</v>
      </c>
      <c r="AB394" s="4">
        <v>1</v>
      </c>
      <c r="AC394" s="4">
        <v>2</v>
      </c>
      <c r="AD394" s="4">
        <v>4</v>
      </c>
      <c r="AE394" s="4">
        <v>8</v>
      </c>
      <c r="AF394" s="4">
        <v>1</v>
      </c>
      <c r="AG394" s="4">
        <v>3</v>
      </c>
      <c r="AH394" s="4">
        <v>1</v>
      </c>
      <c r="AI394" s="4">
        <v>2</v>
      </c>
      <c r="AJ394" s="4">
        <v>2</v>
      </c>
      <c r="AK394" s="4">
        <v>4</v>
      </c>
      <c r="AL394" s="4">
        <v>0</v>
      </c>
      <c r="AM394" s="4">
        <v>1</v>
      </c>
      <c r="AN394" s="4">
        <v>0</v>
      </c>
      <c r="AO394" s="4">
        <v>0</v>
      </c>
      <c r="AP394" s="3" t="s">
        <v>58</v>
      </c>
      <c r="AQ394" s="3" t="s">
        <v>115</v>
      </c>
      <c r="AR394" s="6" t="str">
        <f>HYPERLINK("http://catalog.hathitrust.org/Record/000377162","HathiTrust Record")</f>
        <v>HathiTrust Record</v>
      </c>
      <c r="AS394" s="6" t="str">
        <f>HYPERLINK("https://creighton-primo.hosted.exlibrisgroup.com/primo-explore/search?tab=default_tab&amp;search_scope=EVERYTHING&amp;vid=01CRU&amp;lang=en_US&amp;offset=0&amp;query=any,contains,991000958329702656","Catalog Record")</f>
        <v>Catalog Record</v>
      </c>
      <c r="AT394" s="6" t="str">
        <f>HYPERLINK("http://www.worldcat.org/oclc/12050786","WorldCat Record")</f>
        <v>WorldCat Record</v>
      </c>
    </row>
    <row r="395" spans="1:46" ht="40.5" customHeight="1" x14ac:dyDescent="0.25">
      <c r="A395" s="8" t="s">
        <v>58</v>
      </c>
      <c r="B395" s="2" t="s">
        <v>3191</v>
      </c>
      <c r="C395" s="2" t="s">
        <v>3192</v>
      </c>
      <c r="D395" s="2" t="s">
        <v>3193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L395" s="2" t="s">
        <v>3194</v>
      </c>
      <c r="M395" s="3" t="s">
        <v>380</v>
      </c>
      <c r="O395" s="3" t="s">
        <v>64</v>
      </c>
      <c r="P395" s="3" t="s">
        <v>3195</v>
      </c>
      <c r="Q395" s="2" t="s">
        <v>3196</v>
      </c>
      <c r="R395" s="3" t="s">
        <v>1346</v>
      </c>
      <c r="S395" s="4">
        <v>6</v>
      </c>
      <c r="T395" s="4">
        <v>6</v>
      </c>
      <c r="U395" s="5" t="s">
        <v>3197</v>
      </c>
      <c r="V395" s="5" t="s">
        <v>3197</v>
      </c>
      <c r="W395" s="5" t="s">
        <v>1778</v>
      </c>
      <c r="X395" s="5" t="s">
        <v>1778</v>
      </c>
      <c r="Y395" s="4">
        <v>52</v>
      </c>
      <c r="Z395" s="4">
        <v>29</v>
      </c>
      <c r="AA395" s="4">
        <v>34</v>
      </c>
      <c r="AB395" s="4">
        <v>1</v>
      </c>
      <c r="AC395" s="4">
        <v>1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3" t="s">
        <v>58</v>
      </c>
      <c r="AQ395" s="3" t="s">
        <v>58</v>
      </c>
      <c r="AS395" s="6" t="str">
        <f>HYPERLINK("https://creighton-primo.hosted.exlibrisgroup.com/primo-explore/search?tab=default_tab&amp;search_scope=EVERYTHING&amp;vid=01CRU&amp;lang=en_US&amp;offset=0&amp;query=any,contains,991001511559702656","Catalog Record")</f>
        <v>Catalog Record</v>
      </c>
      <c r="AT395" s="6" t="str">
        <f>HYPERLINK("http://www.worldcat.org/oclc/27034241","WorldCat Record")</f>
        <v>WorldCat Record</v>
      </c>
    </row>
    <row r="396" spans="1:46" ht="40.5" customHeight="1" x14ac:dyDescent="0.25">
      <c r="A396" s="8" t="s">
        <v>58</v>
      </c>
      <c r="B396" s="2" t="s">
        <v>3198</v>
      </c>
      <c r="C396" s="2" t="s">
        <v>3199</v>
      </c>
      <c r="D396" s="2" t="s">
        <v>3200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L396" s="2" t="s">
        <v>3201</v>
      </c>
      <c r="M396" s="3" t="s">
        <v>1177</v>
      </c>
      <c r="O396" s="3" t="s">
        <v>64</v>
      </c>
      <c r="P396" s="3" t="s">
        <v>1355</v>
      </c>
      <c r="R396" s="3" t="s">
        <v>1346</v>
      </c>
      <c r="S396" s="4">
        <v>6</v>
      </c>
      <c r="T396" s="4">
        <v>6</v>
      </c>
      <c r="U396" s="5" t="s">
        <v>3202</v>
      </c>
      <c r="V396" s="5" t="s">
        <v>3202</v>
      </c>
      <c r="W396" s="5" t="s">
        <v>2034</v>
      </c>
      <c r="X396" s="5" t="s">
        <v>2034</v>
      </c>
      <c r="Y396" s="4">
        <v>99</v>
      </c>
      <c r="Z396" s="4">
        <v>79</v>
      </c>
      <c r="AA396" s="4">
        <v>81</v>
      </c>
      <c r="AB396" s="4">
        <v>1</v>
      </c>
      <c r="AC396" s="4">
        <v>1</v>
      </c>
      <c r="AD396" s="4">
        <v>2</v>
      </c>
      <c r="AE396" s="4">
        <v>2</v>
      </c>
      <c r="AF396" s="4">
        <v>0</v>
      </c>
      <c r="AG396" s="4">
        <v>0</v>
      </c>
      <c r="AH396" s="4">
        <v>2</v>
      </c>
      <c r="AI396" s="4">
        <v>2</v>
      </c>
      <c r="AJ396" s="4">
        <v>1</v>
      </c>
      <c r="AK396" s="4">
        <v>1</v>
      </c>
      <c r="AL396" s="4">
        <v>0</v>
      </c>
      <c r="AM396" s="4">
        <v>0</v>
      </c>
      <c r="AN396" s="4">
        <v>0</v>
      </c>
      <c r="AO396" s="4">
        <v>0</v>
      </c>
      <c r="AP396" s="3" t="s">
        <v>58</v>
      </c>
      <c r="AQ396" s="3" t="s">
        <v>115</v>
      </c>
      <c r="AR396" s="6" t="str">
        <f>HYPERLINK("http://catalog.hathitrust.org/Record/000836215","HathiTrust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HYPERLINK("https://creighton-primo.hosted.exlibrisgroup.com/primo-explore/search?tab=default_tab&amp;search_scope=EVERYTHING&amp;vid=01CRU&amp;lang=en_US&amp;offset=0&amp;query=any,contains,991001536739702656","Catalog Record")</f>
        <v>Catalog Record</v>
      </c>
      <c r="AT396" s="6" t="str">
        <f>HYPERLINK("http://www.worldcat.org/oclc/15588697","WorldCat Record")</f>
        <v>WorldCat Record</v>
      </c>
    </row>
    <row r="397" spans="1:46" ht="40.5" customHeight="1" x14ac:dyDescent="0.25">
      <c r="A397" s="8" t="s">
        <v>58</v>
      </c>
      <c r="B397" s="2" t="s">
        <v>3203</v>
      </c>
      <c r="C397" s="2" t="s">
        <v>3204</v>
      </c>
      <c r="D397" s="2" t="s">
        <v>3205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L397" s="2" t="s">
        <v>3206</v>
      </c>
      <c r="M397" s="3" t="s">
        <v>921</v>
      </c>
      <c r="O397" s="3" t="s">
        <v>64</v>
      </c>
      <c r="P397" s="3" t="s">
        <v>65</v>
      </c>
      <c r="R397" s="3" t="s">
        <v>1346</v>
      </c>
      <c r="S397" s="4">
        <v>0</v>
      </c>
      <c r="T397" s="4">
        <v>0</v>
      </c>
      <c r="U397" s="5" t="s">
        <v>3207</v>
      </c>
      <c r="V397" s="5" t="s">
        <v>3207</v>
      </c>
      <c r="W397" s="5" t="s">
        <v>3208</v>
      </c>
      <c r="X397" s="5" t="s">
        <v>3208</v>
      </c>
      <c r="Y397" s="4">
        <v>181</v>
      </c>
      <c r="Z397" s="4">
        <v>106</v>
      </c>
      <c r="AA397" s="4">
        <v>111</v>
      </c>
      <c r="AB397" s="4">
        <v>1</v>
      </c>
      <c r="AC397" s="4">
        <v>1</v>
      </c>
      <c r="AD397" s="4">
        <v>7</v>
      </c>
      <c r="AE397" s="4">
        <v>7</v>
      </c>
      <c r="AF397" s="4">
        <v>4</v>
      </c>
      <c r="AG397" s="4">
        <v>4</v>
      </c>
      <c r="AH397" s="4">
        <v>0</v>
      </c>
      <c r="AI397" s="4">
        <v>0</v>
      </c>
      <c r="AJ397" s="4">
        <v>4</v>
      </c>
      <c r="AK397" s="4">
        <v>4</v>
      </c>
      <c r="AL397" s="4">
        <v>0</v>
      </c>
      <c r="AM397" s="4">
        <v>0</v>
      </c>
      <c r="AN397" s="4">
        <v>0</v>
      </c>
      <c r="AO397" s="4">
        <v>0</v>
      </c>
      <c r="AP397" s="3" t="s">
        <v>58</v>
      </c>
      <c r="AQ397" s="3" t="s">
        <v>58</v>
      </c>
      <c r="AS397" s="6" t="str">
        <f>HYPERLINK("https://creighton-primo.hosted.exlibrisgroup.com/primo-explore/search?tab=default_tab&amp;search_scope=EVERYTHING&amp;vid=01CRU&amp;lang=en_US&amp;offset=0&amp;query=any,contains,991000456199702656","Catalog Record")</f>
        <v>Catalog Record</v>
      </c>
      <c r="AT397" s="6" t="str">
        <f>HYPERLINK("http://www.worldcat.org/oclc/52424678","WorldCat Record")</f>
        <v>WorldCat Record</v>
      </c>
    </row>
    <row r="398" spans="1:46" ht="40.5" customHeight="1" x14ac:dyDescent="0.25">
      <c r="A398" s="8" t="s">
        <v>58</v>
      </c>
      <c r="B398" s="2" t="s">
        <v>3209</v>
      </c>
      <c r="C398" s="2" t="s">
        <v>3210</v>
      </c>
      <c r="D398" s="2" t="s">
        <v>3211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3212</v>
      </c>
      <c r="L398" s="2" t="s">
        <v>1469</v>
      </c>
      <c r="M398" s="3" t="s">
        <v>142</v>
      </c>
      <c r="O398" s="3" t="s">
        <v>64</v>
      </c>
      <c r="P398" s="3" t="s">
        <v>1406</v>
      </c>
      <c r="R398" s="3" t="s">
        <v>1346</v>
      </c>
      <c r="S398" s="4">
        <v>4</v>
      </c>
      <c r="T398" s="4">
        <v>4</v>
      </c>
      <c r="U398" s="5" t="s">
        <v>3213</v>
      </c>
      <c r="V398" s="5" t="s">
        <v>3213</v>
      </c>
      <c r="W398" s="5" t="s">
        <v>3214</v>
      </c>
      <c r="X398" s="5" t="s">
        <v>3214</v>
      </c>
      <c r="Y398" s="4">
        <v>110</v>
      </c>
      <c r="Z398" s="4">
        <v>81</v>
      </c>
      <c r="AA398" s="4">
        <v>83</v>
      </c>
      <c r="AB398" s="4">
        <v>1</v>
      </c>
      <c r="AC398" s="4">
        <v>1</v>
      </c>
      <c r="AD398" s="4">
        <v>2</v>
      </c>
      <c r="AE398" s="4">
        <v>2</v>
      </c>
      <c r="AF398" s="4">
        <v>0</v>
      </c>
      <c r="AG398" s="4">
        <v>0</v>
      </c>
      <c r="AH398" s="4">
        <v>1</v>
      </c>
      <c r="AI398" s="4">
        <v>1</v>
      </c>
      <c r="AJ398" s="4">
        <v>2</v>
      </c>
      <c r="AK398" s="4">
        <v>2</v>
      </c>
      <c r="AL398" s="4">
        <v>0</v>
      </c>
      <c r="AM398" s="4">
        <v>0</v>
      </c>
      <c r="AN398" s="4">
        <v>0</v>
      </c>
      <c r="AO398" s="4">
        <v>0</v>
      </c>
      <c r="AP398" s="3" t="s">
        <v>58</v>
      </c>
      <c r="AQ398" s="3" t="s">
        <v>115</v>
      </c>
      <c r="AR398" s="6" t="str">
        <f>HYPERLINK("http://catalog.hathitrust.org/Record/002216158","HathiTrust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HYPERLINK("https://creighton-primo.hosted.exlibrisgroup.com/primo-explore/search?tab=default_tab&amp;search_scope=EVERYTHING&amp;vid=01CRU&amp;lang=en_US&amp;offset=0&amp;query=any,contains,991001305309702656","Catalog Record")</f>
        <v>Catalog Record</v>
      </c>
      <c r="AT398" s="6" t="str">
        <f>HYPERLINK("http://www.worldcat.org/oclc/22006068","WorldCat Record")</f>
        <v>WorldCat Record</v>
      </c>
    </row>
    <row r="399" spans="1:46" ht="40.5" customHeight="1" x14ac:dyDescent="0.25">
      <c r="A399" s="8" t="s">
        <v>58</v>
      </c>
      <c r="B399" s="2" t="s">
        <v>3215</v>
      </c>
      <c r="C399" s="2" t="s">
        <v>3216</v>
      </c>
      <c r="D399" s="2" t="s">
        <v>3217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L399" s="2" t="s">
        <v>3218</v>
      </c>
      <c r="M399" s="3" t="s">
        <v>408</v>
      </c>
      <c r="O399" s="3" t="s">
        <v>64</v>
      </c>
      <c r="P399" s="3" t="s">
        <v>265</v>
      </c>
      <c r="R399" s="3" t="s">
        <v>1346</v>
      </c>
      <c r="S399" s="4">
        <v>11</v>
      </c>
      <c r="T399" s="4">
        <v>11</v>
      </c>
      <c r="U399" s="5" t="s">
        <v>3219</v>
      </c>
      <c r="V399" s="5" t="s">
        <v>3219</v>
      </c>
      <c r="W399" s="5" t="s">
        <v>2918</v>
      </c>
      <c r="X399" s="5" t="s">
        <v>2918</v>
      </c>
      <c r="Y399" s="4">
        <v>141</v>
      </c>
      <c r="Z399" s="4">
        <v>126</v>
      </c>
      <c r="AA399" s="4">
        <v>133</v>
      </c>
      <c r="AB399" s="4">
        <v>1</v>
      </c>
      <c r="AC399" s="4">
        <v>1</v>
      </c>
      <c r="AD399" s="4">
        <v>2</v>
      </c>
      <c r="AE399" s="4">
        <v>2</v>
      </c>
      <c r="AF399" s="4">
        <v>1</v>
      </c>
      <c r="AG399" s="4">
        <v>1</v>
      </c>
      <c r="AH399" s="4">
        <v>0</v>
      </c>
      <c r="AI399" s="4">
        <v>0</v>
      </c>
      <c r="AJ399" s="4">
        <v>1</v>
      </c>
      <c r="AK399" s="4">
        <v>1</v>
      </c>
      <c r="AL399" s="4">
        <v>0</v>
      </c>
      <c r="AM399" s="4">
        <v>0</v>
      </c>
      <c r="AN399" s="4">
        <v>0</v>
      </c>
      <c r="AO399" s="4">
        <v>0</v>
      </c>
      <c r="AP399" s="3" t="s">
        <v>58</v>
      </c>
      <c r="AQ399" s="3" t="s">
        <v>115</v>
      </c>
      <c r="AR399" s="6" t="str">
        <f>HYPERLINK("http://catalog.hathitrust.org/Record/000286979","HathiTrust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HYPERLINK("https://creighton-primo.hosted.exlibrisgroup.com/primo-explore/search?tab=default_tab&amp;search_scope=EVERYTHING&amp;vid=01CRU&amp;lang=en_US&amp;offset=0&amp;query=any,contains,991000958779702656","Catalog Record")</f>
        <v>Catalog Record</v>
      </c>
      <c r="AT399" s="6" t="str">
        <f>HYPERLINK("http://www.worldcat.org/oclc/10726873","WorldCat Record")</f>
        <v>WorldCat Record</v>
      </c>
    </row>
    <row r="400" spans="1:46" ht="40.5" customHeight="1" x14ac:dyDescent="0.25">
      <c r="A400" s="8" t="s">
        <v>58</v>
      </c>
      <c r="B400" s="2" t="s">
        <v>3220</v>
      </c>
      <c r="C400" s="2" t="s">
        <v>3221</v>
      </c>
      <c r="D400" s="2" t="s">
        <v>3222</v>
      </c>
      <c r="F400" s="3" t="s">
        <v>58</v>
      </c>
      <c r="G400" s="3" t="s">
        <v>59</v>
      </c>
      <c r="H400" s="3" t="s">
        <v>58</v>
      </c>
      <c r="I400" s="3" t="s">
        <v>115</v>
      </c>
      <c r="J400" s="3" t="s">
        <v>60</v>
      </c>
      <c r="K400" s="2" t="s">
        <v>2710</v>
      </c>
      <c r="L400" s="2" t="s">
        <v>3223</v>
      </c>
      <c r="M400" s="3" t="s">
        <v>993</v>
      </c>
      <c r="N400" s="2" t="s">
        <v>936</v>
      </c>
      <c r="O400" s="3" t="s">
        <v>64</v>
      </c>
      <c r="P400" s="3" t="s">
        <v>144</v>
      </c>
      <c r="R400" s="3" t="s">
        <v>1346</v>
      </c>
      <c r="S400" s="4">
        <v>4</v>
      </c>
      <c r="T400" s="4">
        <v>4</v>
      </c>
      <c r="U400" s="5" t="s">
        <v>2210</v>
      </c>
      <c r="V400" s="5" t="s">
        <v>2210</v>
      </c>
      <c r="W400" s="5" t="s">
        <v>2210</v>
      </c>
      <c r="X400" s="5" t="s">
        <v>2210</v>
      </c>
      <c r="Y400" s="4">
        <v>159</v>
      </c>
      <c r="Z400" s="4">
        <v>118</v>
      </c>
      <c r="AA400" s="4">
        <v>298</v>
      </c>
      <c r="AB400" s="4">
        <v>1</v>
      </c>
      <c r="AC400" s="4">
        <v>3</v>
      </c>
      <c r="AD400" s="4">
        <v>3</v>
      </c>
      <c r="AE400" s="4">
        <v>13</v>
      </c>
      <c r="AF400" s="4">
        <v>0</v>
      </c>
      <c r="AG400" s="4">
        <v>5</v>
      </c>
      <c r="AH400" s="4">
        <v>1</v>
      </c>
      <c r="AI400" s="4">
        <v>3</v>
      </c>
      <c r="AJ400" s="4">
        <v>2</v>
      </c>
      <c r="AK400" s="4">
        <v>4</v>
      </c>
      <c r="AL400" s="4">
        <v>0</v>
      </c>
      <c r="AM400" s="4">
        <v>2</v>
      </c>
      <c r="AN400" s="4">
        <v>0</v>
      </c>
      <c r="AO400" s="4">
        <v>0</v>
      </c>
      <c r="AP400" s="3" t="s">
        <v>58</v>
      </c>
      <c r="AQ400" s="3" t="s">
        <v>58</v>
      </c>
      <c r="AS400" s="6" t="str">
        <f>HYPERLINK("https://creighton-primo.hosted.exlibrisgroup.com/primo-explore/search?tab=default_tab&amp;search_scope=EVERYTHING&amp;vid=01CRU&amp;lang=en_US&amp;offset=0&amp;query=any,contains,991001408299702656","Catalog Record")</f>
        <v>Catalog Record</v>
      </c>
      <c r="AT400" s="6" t="str">
        <f>HYPERLINK("http://www.worldcat.org/oclc/39399630","WorldCat Record")</f>
        <v>WorldCat Record</v>
      </c>
    </row>
    <row r="401" spans="1:46" ht="40.5" customHeight="1" x14ac:dyDescent="0.25">
      <c r="A401" s="8" t="s">
        <v>58</v>
      </c>
      <c r="B401" s="2" t="s">
        <v>3224</v>
      </c>
      <c r="C401" s="2" t="s">
        <v>3225</v>
      </c>
      <c r="D401" s="2" t="s">
        <v>3226</v>
      </c>
      <c r="F401" s="3" t="s">
        <v>58</v>
      </c>
      <c r="G401" s="3" t="s">
        <v>59</v>
      </c>
      <c r="H401" s="3" t="s">
        <v>58</v>
      </c>
      <c r="I401" s="3" t="s">
        <v>115</v>
      </c>
      <c r="J401" s="3" t="s">
        <v>60</v>
      </c>
      <c r="L401" s="2" t="s">
        <v>2711</v>
      </c>
      <c r="M401" s="3" t="s">
        <v>907</v>
      </c>
      <c r="N401" s="2" t="s">
        <v>221</v>
      </c>
      <c r="O401" s="3" t="s">
        <v>64</v>
      </c>
      <c r="P401" s="3" t="s">
        <v>144</v>
      </c>
      <c r="R401" s="3" t="s">
        <v>1346</v>
      </c>
      <c r="S401" s="4">
        <v>0</v>
      </c>
      <c r="T401" s="4">
        <v>0</v>
      </c>
      <c r="U401" s="5" t="s">
        <v>3227</v>
      </c>
      <c r="V401" s="5" t="s">
        <v>3227</v>
      </c>
      <c r="W401" s="5" t="s">
        <v>3228</v>
      </c>
      <c r="X401" s="5" t="s">
        <v>3228</v>
      </c>
      <c r="Y401" s="4">
        <v>251</v>
      </c>
      <c r="Z401" s="4">
        <v>154</v>
      </c>
      <c r="AA401" s="4">
        <v>298</v>
      </c>
      <c r="AB401" s="4">
        <v>3</v>
      </c>
      <c r="AC401" s="4">
        <v>3</v>
      </c>
      <c r="AD401" s="4">
        <v>10</v>
      </c>
      <c r="AE401" s="4">
        <v>13</v>
      </c>
      <c r="AF401" s="4">
        <v>5</v>
      </c>
      <c r="AG401" s="4">
        <v>5</v>
      </c>
      <c r="AH401" s="4">
        <v>1</v>
      </c>
      <c r="AI401" s="4">
        <v>3</v>
      </c>
      <c r="AJ401" s="4">
        <v>3</v>
      </c>
      <c r="AK401" s="4">
        <v>4</v>
      </c>
      <c r="AL401" s="4">
        <v>2</v>
      </c>
      <c r="AM401" s="4">
        <v>2</v>
      </c>
      <c r="AN401" s="4">
        <v>0</v>
      </c>
      <c r="AO401" s="4">
        <v>0</v>
      </c>
      <c r="AP401" s="3" t="s">
        <v>58</v>
      </c>
      <c r="AQ401" s="3" t="s">
        <v>58</v>
      </c>
      <c r="AS401" s="6" t="str">
        <f>HYPERLINK("https://creighton-primo.hosted.exlibrisgroup.com/primo-explore/search?tab=default_tab&amp;search_scope=EVERYTHING&amp;vid=01CRU&amp;lang=en_US&amp;offset=0&amp;query=any,contains,991000593409702656","Catalog Record")</f>
        <v>Catalog Record</v>
      </c>
      <c r="AT401" s="6" t="str">
        <f>HYPERLINK("http://www.worldcat.org/oclc/60903259","WorldCat Record")</f>
        <v>WorldCat Record</v>
      </c>
    </row>
    <row r="402" spans="1:46" ht="40.5" customHeight="1" x14ac:dyDescent="0.25">
      <c r="A402" s="8" t="s">
        <v>58</v>
      </c>
      <c r="B402" s="2" t="s">
        <v>3229</v>
      </c>
      <c r="C402" s="2" t="s">
        <v>3230</v>
      </c>
      <c r="D402" s="2" t="s">
        <v>3231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L402" s="2" t="s">
        <v>3232</v>
      </c>
      <c r="M402" s="3" t="s">
        <v>408</v>
      </c>
      <c r="O402" s="3" t="s">
        <v>64</v>
      </c>
      <c r="P402" s="3" t="s">
        <v>265</v>
      </c>
      <c r="R402" s="3" t="s">
        <v>1346</v>
      </c>
      <c r="S402" s="4">
        <v>7</v>
      </c>
      <c r="T402" s="4">
        <v>7</v>
      </c>
      <c r="U402" s="5" t="s">
        <v>3233</v>
      </c>
      <c r="V402" s="5" t="s">
        <v>3233</v>
      </c>
      <c r="W402" s="5" t="s">
        <v>2918</v>
      </c>
      <c r="X402" s="5" t="s">
        <v>2918</v>
      </c>
      <c r="Y402" s="4">
        <v>104</v>
      </c>
      <c r="Z402" s="4">
        <v>79</v>
      </c>
      <c r="AA402" s="4">
        <v>102</v>
      </c>
      <c r="AB402" s="4">
        <v>1</v>
      </c>
      <c r="AC402" s="4">
        <v>1</v>
      </c>
      <c r="AD402" s="4">
        <v>1</v>
      </c>
      <c r="AE402" s="4">
        <v>1</v>
      </c>
      <c r="AF402" s="4">
        <v>0</v>
      </c>
      <c r="AG402" s="4">
        <v>0</v>
      </c>
      <c r="AH402" s="4">
        <v>0</v>
      </c>
      <c r="AI402" s="4">
        <v>0</v>
      </c>
      <c r="AJ402" s="4">
        <v>1</v>
      </c>
      <c r="AK402" s="4">
        <v>1</v>
      </c>
      <c r="AL402" s="4">
        <v>0</v>
      </c>
      <c r="AM402" s="4">
        <v>0</v>
      </c>
      <c r="AN402" s="4">
        <v>0</v>
      </c>
      <c r="AO402" s="4">
        <v>0</v>
      </c>
      <c r="AP402" s="3" t="s">
        <v>58</v>
      </c>
      <c r="AQ402" s="3" t="s">
        <v>115</v>
      </c>
      <c r="AR402" s="6" t="str">
        <f>HYPERLINK("http://catalog.hathitrust.org/Record/000612400","HathiTrust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HYPERLINK("https://creighton-primo.hosted.exlibrisgroup.com/primo-explore/search?tab=default_tab&amp;search_scope=EVERYTHING&amp;vid=01CRU&amp;lang=en_US&amp;offset=0&amp;query=any,contains,991000958699702656","Catalog Record")</f>
        <v>Catalog Record</v>
      </c>
      <c r="AT402" s="6" t="str">
        <f>HYPERLINK("http://www.worldcat.org/oclc/11784407","WorldCat Record")</f>
        <v>WorldCat Record</v>
      </c>
    </row>
    <row r="403" spans="1:46" ht="40.5" customHeight="1" x14ac:dyDescent="0.25">
      <c r="A403" s="8" t="s">
        <v>58</v>
      </c>
      <c r="B403" s="2" t="s">
        <v>3234</v>
      </c>
      <c r="C403" s="2" t="s">
        <v>3235</v>
      </c>
      <c r="D403" s="2" t="s">
        <v>3236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3237</v>
      </c>
      <c r="L403" s="2" t="s">
        <v>3238</v>
      </c>
      <c r="M403" s="3" t="s">
        <v>3239</v>
      </c>
      <c r="O403" s="3" t="s">
        <v>64</v>
      </c>
      <c r="P403" s="3" t="s">
        <v>65</v>
      </c>
      <c r="R403" s="3" t="s">
        <v>1346</v>
      </c>
      <c r="S403" s="4">
        <v>3</v>
      </c>
      <c r="T403" s="4">
        <v>3</v>
      </c>
      <c r="U403" s="5" t="s">
        <v>3240</v>
      </c>
      <c r="V403" s="5" t="s">
        <v>3240</v>
      </c>
      <c r="W403" s="5" t="s">
        <v>2918</v>
      </c>
      <c r="X403" s="5" t="s">
        <v>2918</v>
      </c>
      <c r="Y403" s="4">
        <v>65</v>
      </c>
      <c r="Z403" s="4">
        <v>57</v>
      </c>
      <c r="AA403" s="4">
        <v>141</v>
      </c>
      <c r="AB403" s="4">
        <v>1</v>
      </c>
      <c r="AC403" s="4">
        <v>2</v>
      </c>
      <c r="AD403" s="4">
        <v>3</v>
      </c>
      <c r="AE403" s="4">
        <v>5</v>
      </c>
      <c r="AF403" s="4">
        <v>1</v>
      </c>
      <c r="AG403" s="4">
        <v>1</v>
      </c>
      <c r="AH403" s="4">
        <v>2</v>
      </c>
      <c r="AI403" s="4">
        <v>3</v>
      </c>
      <c r="AJ403" s="4">
        <v>0</v>
      </c>
      <c r="AK403" s="4">
        <v>0</v>
      </c>
      <c r="AL403" s="4">
        <v>0</v>
      </c>
      <c r="AM403" s="4">
        <v>1</v>
      </c>
      <c r="AN403" s="4">
        <v>0</v>
      </c>
      <c r="AO403" s="4">
        <v>0</v>
      </c>
      <c r="AP403" s="3" t="s">
        <v>115</v>
      </c>
      <c r="AQ403" s="3" t="s">
        <v>58</v>
      </c>
      <c r="AR403" s="6" t="str">
        <f>HYPERLINK("http://catalog.hathitrust.org/Record/002081540","HathiTrust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HYPERLINK("https://creighton-primo.hosted.exlibrisgroup.com/primo-explore/search?tab=default_tab&amp;search_scope=EVERYTHING&amp;vid=01CRU&amp;lang=en_US&amp;offset=0&amp;query=any,contains,991000958609702656","Catalog Record")</f>
        <v>Catalog Record</v>
      </c>
      <c r="AT403" s="6" t="str">
        <f>HYPERLINK("http://www.worldcat.org/oclc/3595867","WorldCat Record")</f>
        <v>WorldCat Record</v>
      </c>
    </row>
    <row r="404" spans="1:46" ht="40.5" customHeight="1" x14ac:dyDescent="0.25">
      <c r="A404" s="8" t="s">
        <v>58</v>
      </c>
      <c r="B404" s="2" t="s">
        <v>3241</v>
      </c>
      <c r="C404" s="2" t="s">
        <v>3242</v>
      </c>
      <c r="D404" s="2" t="s">
        <v>3243</v>
      </c>
      <c r="E404" s="3" t="s">
        <v>492</v>
      </c>
      <c r="F404" s="3" t="s">
        <v>115</v>
      </c>
      <c r="G404" s="3" t="s">
        <v>59</v>
      </c>
      <c r="H404" s="3" t="s">
        <v>58</v>
      </c>
      <c r="I404" s="3" t="s">
        <v>58</v>
      </c>
      <c r="J404" s="3" t="s">
        <v>60</v>
      </c>
      <c r="L404" s="2" t="s">
        <v>3244</v>
      </c>
      <c r="M404" s="3" t="s">
        <v>483</v>
      </c>
      <c r="O404" s="3" t="s">
        <v>64</v>
      </c>
      <c r="P404" s="3" t="s">
        <v>65</v>
      </c>
      <c r="R404" s="3" t="s">
        <v>1346</v>
      </c>
      <c r="S404" s="4">
        <v>7</v>
      </c>
      <c r="T404" s="4">
        <v>16</v>
      </c>
      <c r="U404" s="5" t="s">
        <v>3240</v>
      </c>
      <c r="V404" s="5" t="s">
        <v>3240</v>
      </c>
      <c r="W404" s="5" t="s">
        <v>2918</v>
      </c>
      <c r="X404" s="5" t="s">
        <v>2918</v>
      </c>
      <c r="Y404" s="4">
        <v>284</v>
      </c>
      <c r="Z404" s="4">
        <v>215</v>
      </c>
      <c r="AA404" s="4">
        <v>218</v>
      </c>
      <c r="AB404" s="4">
        <v>2</v>
      </c>
      <c r="AC404" s="4">
        <v>2</v>
      </c>
      <c r="AD404" s="4">
        <v>8</v>
      </c>
      <c r="AE404" s="4">
        <v>8</v>
      </c>
      <c r="AF404" s="4">
        <v>2</v>
      </c>
      <c r="AG404" s="4">
        <v>2</v>
      </c>
      <c r="AH404" s="4">
        <v>2</v>
      </c>
      <c r="AI404" s="4">
        <v>2</v>
      </c>
      <c r="AJ404" s="4">
        <v>5</v>
      </c>
      <c r="AK404" s="4">
        <v>5</v>
      </c>
      <c r="AL404" s="4">
        <v>1</v>
      </c>
      <c r="AM404" s="4">
        <v>1</v>
      </c>
      <c r="AN404" s="4">
        <v>0</v>
      </c>
      <c r="AO404" s="4">
        <v>0</v>
      </c>
      <c r="AP404" s="3" t="s">
        <v>58</v>
      </c>
      <c r="AQ404" s="3" t="s">
        <v>115</v>
      </c>
      <c r="AR404" s="6" t="str">
        <f>HYPERLINK("http://catalog.hathitrust.org/Record/000259893","HathiTrust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HYPERLINK("https://creighton-primo.hosted.exlibrisgroup.com/primo-explore/search?tab=default_tab&amp;search_scope=EVERYTHING&amp;vid=01CRU&amp;lang=en_US&amp;offset=0&amp;query=any,contains,991000958649702656","Catalog Record")</f>
        <v>Catalog Record</v>
      </c>
      <c r="AT404" s="6" t="str">
        <f>HYPERLINK("http://www.worldcat.org/oclc/4638224","WorldCat Record")</f>
        <v>WorldCat Record</v>
      </c>
    </row>
    <row r="405" spans="1:46" ht="40.5" customHeight="1" x14ac:dyDescent="0.25">
      <c r="A405" s="8" t="s">
        <v>58</v>
      </c>
      <c r="B405" s="2" t="s">
        <v>3241</v>
      </c>
      <c r="C405" s="2" t="s">
        <v>3242</v>
      </c>
      <c r="D405" s="2" t="s">
        <v>3243</v>
      </c>
      <c r="E405" s="3" t="s">
        <v>480</v>
      </c>
      <c r="F405" s="3" t="s">
        <v>115</v>
      </c>
      <c r="G405" s="3" t="s">
        <v>59</v>
      </c>
      <c r="H405" s="3" t="s">
        <v>58</v>
      </c>
      <c r="I405" s="3" t="s">
        <v>58</v>
      </c>
      <c r="J405" s="3" t="s">
        <v>60</v>
      </c>
      <c r="L405" s="2" t="s">
        <v>3244</v>
      </c>
      <c r="M405" s="3" t="s">
        <v>483</v>
      </c>
      <c r="O405" s="3" t="s">
        <v>64</v>
      </c>
      <c r="P405" s="3" t="s">
        <v>65</v>
      </c>
      <c r="R405" s="3" t="s">
        <v>1346</v>
      </c>
      <c r="S405" s="4">
        <v>9</v>
      </c>
      <c r="T405" s="4">
        <v>16</v>
      </c>
      <c r="U405" s="5" t="s">
        <v>3240</v>
      </c>
      <c r="V405" s="5" t="s">
        <v>3240</v>
      </c>
      <c r="W405" s="5" t="s">
        <v>2918</v>
      </c>
      <c r="X405" s="5" t="s">
        <v>2918</v>
      </c>
      <c r="Y405" s="4">
        <v>284</v>
      </c>
      <c r="Z405" s="4">
        <v>215</v>
      </c>
      <c r="AA405" s="4">
        <v>218</v>
      </c>
      <c r="AB405" s="4">
        <v>2</v>
      </c>
      <c r="AC405" s="4">
        <v>2</v>
      </c>
      <c r="AD405" s="4">
        <v>8</v>
      </c>
      <c r="AE405" s="4">
        <v>8</v>
      </c>
      <c r="AF405" s="4">
        <v>2</v>
      </c>
      <c r="AG405" s="4">
        <v>2</v>
      </c>
      <c r="AH405" s="4">
        <v>2</v>
      </c>
      <c r="AI405" s="4">
        <v>2</v>
      </c>
      <c r="AJ405" s="4">
        <v>5</v>
      </c>
      <c r="AK405" s="4">
        <v>5</v>
      </c>
      <c r="AL405" s="4">
        <v>1</v>
      </c>
      <c r="AM405" s="4">
        <v>1</v>
      </c>
      <c r="AN405" s="4">
        <v>0</v>
      </c>
      <c r="AO405" s="4">
        <v>0</v>
      </c>
      <c r="AP405" s="3" t="s">
        <v>58</v>
      </c>
      <c r="AQ405" s="3" t="s">
        <v>115</v>
      </c>
      <c r="AR405" s="6" t="str">
        <f>HYPERLINK("http://catalog.hathitrust.org/Record/000259893","HathiTrust Record")</f>
        <v>HathiTrust Record</v>
      </c>
      <c r="AS405" s="6" t="str">
        <f>HYPERLINK("https://creighton-primo.hosted.exlibrisgroup.com/primo-explore/search?tab=default_tab&amp;search_scope=EVERYTHING&amp;vid=01CRU&amp;lang=en_US&amp;offset=0&amp;query=any,contains,991000958649702656","Catalog Record")</f>
        <v>Catalog Record</v>
      </c>
      <c r="AT405" s="6" t="str">
        <f>HYPERLINK("http://www.worldcat.org/oclc/4638224","WorldCat Record")</f>
        <v>WorldCat Record</v>
      </c>
    </row>
    <row r="406" spans="1:46" ht="40.5" customHeight="1" x14ac:dyDescent="0.25">
      <c r="A406" s="8" t="s">
        <v>58</v>
      </c>
      <c r="B406" s="2" t="s">
        <v>3245</v>
      </c>
      <c r="C406" s="2" t="s">
        <v>3246</v>
      </c>
      <c r="D406" s="2" t="s">
        <v>3247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3248</v>
      </c>
      <c r="L406" s="2" t="s">
        <v>3249</v>
      </c>
      <c r="M406" s="3" t="s">
        <v>1392</v>
      </c>
      <c r="O406" s="3" t="s">
        <v>64</v>
      </c>
      <c r="P406" s="3" t="s">
        <v>1355</v>
      </c>
      <c r="R406" s="3" t="s">
        <v>1346</v>
      </c>
      <c r="S406" s="4">
        <v>10</v>
      </c>
      <c r="T406" s="4">
        <v>10</v>
      </c>
      <c r="U406" s="5" t="s">
        <v>3240</v>
      </c>
      <c r="V406" s="5" t="s">
        <v>3240</v>
      </c>
      <c r="W406" s="5" t="s">
        <v>2918</v>
      </c>
      <c r="X406" s="5" t="s">
        <v>2918</v>
      </c>
      <c r="Y406" s="4">
        <v>316</v>
      </c>
      <c r="Z406" s="4">
        <v>262</v>
      </c>
      <c r="AA406" s="4">
        <v>269</v>
      </c>
      <c r="AB406" s="4">
        <v>2</v>
      </c>
      <c r="AC406" s="4">
        <v>2</v>
      </c>
      <c r="AD406" s="4">
        <v>11</v>
      </c>
      <c r="AE406" s="4">
        <v>11</v>
      </c>
      <c r="AF406" s="4">
        <v>4</v>
      </c>
      <c r="AG406" s="4">
        <v>4</v>
      </c>
      <c r="AH406" s="4">
        <v>3</v>
      </c>
      <c r="AI406" s="4">
        <v>3</v>
      </c>
      <c r="AJ406" s="4">
        <v>7</v>
      </c>
      <c r="AK406" s="4">
        <v>7</v>
      </c>
      <c r="AL406" s="4">
        <v>1</v>
      </c>
      <c r="AM406" s="4">
        <v>1</v>
      </c>
      <c r="AN406" s="4">
        <v>0</v>
      </c>
      <c r="AO406" s="4">
        <v>0</v>
      </c>
      <c r="AP406" s="3" t="s">
        <v>58</v>
      </c>
      <c r="AQ406" s="3" t="s">
        <v>115</v>
      </c>
      <c r="AR406" s="6" t="str">
        <f>HYPERLINK("http://catalog.hathitrust.org/Record/000205220","HathiTrust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HYPERLINK("https://creighton-primo.hosted.exlibrisgroup.com/primo-explore/search?tab=default_tab&amp;search_scope=EVERYTHING&amp;vid=01CRU&amp;lang=en_US&amp;offset=0&amp;query=any,contains,991000958569702656","Catalog Record")</f>
        <v>Catalog Record</v>
      </c>
      <c r="AT406" s="6" t="str">
        <f>HYPERLINK("http://www.worldcat.org/oclc/8452085","WorldCat Record")</f>
        <v>WorldCat Record</v>
      </c>
    </row>
    <row r="407" spans="1:46" ht="40.5" customHeight="1" x14ac:dyDescent="0.25">
      <c r="A407" s="8" t="s">
        <v>58</v>
      </c>
      <c r="B407" s="2" t="s">
        <v>3250</v>
      </c>
      <c r="C407" s="2" t="s">
        <v>3251</v>
      </c>
      <c r="D407" s="2" t="s">
        <v>3252</v>
      </c>
      <c r="F407" s="3" t="s">
        <v>58</v>
      </c>
      <c r="G407" s="3" t="s">
        <v>59</v>
      </c>
      <c r="H407" s="3" t="s">
        <v>58</v>
      </c>
      <c r="I407" s="3" t="s">
        <v>115</v>
      </c>
      <c r="J407" s="3" t="s">
        <v>60</v>
      </c>
      <c r="L407" s="2" t="s">
        <v>3253</v>
      </c>
      <c r="M407" s="3" t="s">
        <v>290</v>
      </c>
      <c r="O407" s="3" t="s">
        <v>64</v>
      </c>
      <c r="P407" s="3" t="s">
        <v>1355</v>
      </c>
      <c r="R407" s="3" t="s">
        <v>1346</v>
      </c>
      <c r="S407" s="4">
        <v>11</v>
      </c>
      <c r="T407" s="4">
        <v>11</v>
      </c>
      <c r="U407" s="5" t="s">
        <v>3254</v>
      </c>
      <c r="V407" s="5" t="s">
        <v>3254</v>
      </c>
      <c r="W407" s="5" t="s">
        <v>3255</v>
      </c>
      <c r="X407" s="5" t="s">
        <v>3255</v>
      </c>
      <c r="Y407" s="4">
        <v>85</v>
      </c>
      <c r="Z407" s="4">
        <v>65</v>
      </c>
      <c r="AA407" s="4">
        <v>88</v>
      </c>
      <c r="AB407" s="4">
        <v>1</v>
      </c>
      <c r="AC407" s="4">
        <v>2</v>
      </c>
      <c r="AD407" s="4">
        <v>1</v>
      </c>
      <c r="AE407" s="4">
        <v>5</v>
      </c>
      <c r="AF407" s="4">
        <v>0</v>
      </c>
      <c r="AG407" s="4">
        <v>1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1</v>
      </c>
      <c r="AO407" s="4">
        <v>4</v>
      </c>
      <c r="AP407" s="3" t="s">
        <v>58</v>
      </c>
      <c r="AQ407" s="3" t="s">
        <v>58</v>
      </c>
      <c r="AS407" s="6" t="str">
        <f>HYPERLINK("https://creighton-primo.hosted.exlibrisgroup.com/primo-explore/search?tab=default_tab&amp;search_scope=EVERYTHING&amp;vid=01CRU&amp;lang=en_US&amp;offset=0&amp;query=any,contains,991001313169702656","Catalog Record")</f>
        <v>Catalog Record</v>
      </c>
      <c r="AT407" s="6" t="str">
        <f>HYPERLINK("http://www.worldcat.org/oclc/15017114","WorldCat Record")</f>
        <v>WorldCat Record</v>
      </c>
    </row>
    <row r="408" spans="1:46" ht="40.5" customHeight="1" x14ac:dyDescent="0.25">
      <c r="A408" s="8" t="s">
        <v>58</v>
      </c>
      <c r="B408" s="2" t="s">
        <v>3256</v>
      </c>
      <c r="C408" s="2" t="s">
        <v>3257</v>
      </c>
      <c r="D408" s="2" t="s">
        <v>3258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L408" s="2" t="s">
        <v>780</v>
      </c>
      <c r="M408" s="3" t="s">
        <v>173</v>
      </c>
      <c r="N408" s="2" t="s">
        <v>221</v>
      </c>
      <c r="O408" s="3" t="s">
        <v>64</v>
      </c>
      <c r="P408" s="3" t="s">
        <v>65</v>
      </c>
      <c r="R408" s="3" t="s">
        <v>1346</v>
      </c>
      <c r="S408" s="4">
        <v>16</v>
      </c>
      <c r="T408" s="4">
        <v>16</v>
      </c>
      <c r="U408" s="5" t="s">
        <v>3259</v>
      </c>
      <c r="V408" s="5" t="s">
        <v>3259</v>
      </c>
      <c r="W408" s="5" t="s">
        <v>3260</v>
      </c>
      <c r="X408" s="5" t="s">
        <v>3260</v>
      </c>
      <c r="Y408" s="4">
        <v>129</v>
      </c>
      <c r="Z408" s="4">
        <v>90</v>
      </c>
      <c r="AA408" s="4">
        <v>621</v>
      </c>
      <c r="AB408" s="4">
        <v>1</v>
      </c>
      <c r="AC408" s="4">
        <v>6</v>
      </c>
      <c r="AD408" s="4">
        <v>3</v>
      </c>
      <c r="AE408" s="4">
        <v>29</v>
      </c>
      <c r="AF408" s="4">
        <v>1</v>
      </c>
      <c r="AG408" s="4">
        <v>10</v>
      </c>
      <c r="AH408" s="4">
        <v>1</v>
      </c>
      <c r="AI408" s="4">
        <v>8</v>
      </c>
      <c r="AJ408" s="4">
        <v>2</v>
      </c>
      <c r="AK408" s="4">
        <v>10</v>
      </c>
      <c r="AL408" s="4">
        <v>0</v>
      </c>
      <c r="AM408" s="4">
        <v>5</v>
      </c>
      <c r="AN408" s="4">
        <v>0</v>
      </c>
      <c r="AO408" s="4">
        <v>1</v>
      </c>
      <c r="AP408" s="3" t="s">
        <v>58</v>
      </c>
      <c r="AQ408" s="3" t="s">
        <v>58</v>
      </c>
      <c r="AS408" s="6" t="str">
        <f>HYPERLINK("https://creighton-primo.hosted.exlibrisgroup.com/primo-explore/search?tab=default_tab&amp;search_scope=EVERYTHING&amp;vid=01CRU&amp;lang=en_US&amp;offset=0&amp;query=any,contains,991001405329702656","Catalog Record")</f>
        <v>Catalog Record</v>
      </c>
      <c r="AT408" s="6" t="str">
        <f>HYPERLINK("http://www.worldcat.org/oclc/31754515","WorldCat Record")</f>
        <v>WorldCat Record</v>
      </c>
    </row>
    <row r="409" spans="1:46" ht="40.5" customHeight="1" x14ac:dyDescent="0.25">
      <c r="A409" s="8" t="s">
        <v>58</v>
      </c>
      <c r="B409" s="2" t="s">
        <v>3261</v>
      </c>
      <c r="C409" s="2" t="s">
        <v>3262</v>
      </c>
      <c r="D409" s="2" t="s">
        <v>3263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L409" s="2" t="s">
        <v>3264</v>
      </c>
      <c r="M409" s="3" t="s">
        <v>993</v>
      </c>
      <c r="O409" s="3" t="s">
        <v>64</v>
      </c>
      <c r="P409" s="3" t="s">
        <v>585</v>
      </c>
      <c r="Q409" s="2" t="s">
        <v>3265</v>
      </c>
      <c r="R409" s="3" t="s">
        <v>1346</v>
      </c>
      <c r="S409" s="4">
        <v>6</v>
      </c>
      <c r="T409" s="4">
        <v>6</v>
      </c>
      <c r="U409" s="5" t="s">
        <v>1064</v>
      </c>
      <c r="V409" s="5" t="s">
        <v>1064</v>
      </c>
      <c r="W409" s="5" t="s">
        <v>3266</v>
      </c>
      <c r="X409" s="5" t="s">
        <v>3266</v>
      </c>
      <c r="Y409" s="4">
        <v>128</v>
      </c>
      <c r="Z409" s="4">
        <v>72</v>
      </c>
      <c r="AA409" s="4">
        <v>107</v>
      </c>
      <c r="AB409" s="4">
        <v>1</v>
      </c>
      <c r="AC409" s="4">
        <v>1</v>
      </c>
      <c r="AD409" s="4">
        <v>3</v>
      </c>
      <c r="AE409" s="4">
        <v>5</v>
      </c>
      <c r="AF409" s="4">
        <v>0</v>
      </c>
      <c r="AG409" s="4">
        <v>1</v>
      </c>
      <c r="AH409" s="4">
        <v>3</v>
      </c>
      <c r="AI409" s="4">
        <v>3</v>
      </c>
      <c r="AJ409" s="4">
        <v>0</v>
      </c>
      <c r="AK409" s="4">
        <v>2</v>
      </c>
      <c r="AL409" s="4">
        <v>0</v>
      </c>
      <c r="AM409" s="4">
        <v>0</v>
      </c>
      <c r="AN409" s="4">
        <v>0</v>
      </c>
      <c r="AO409" s="4">
        <v>0</v>
      </c>
      <c r="AP409" s="3" t="s">
        <v>58</v>
      </c>
      <c r="AQ409" s="3" t="s">
        <v>115</v>
      </c>
      <c r="AR409" s="6" t="str">
        <f>HYPERLINK("http://catalog.hathitrust.org/Record/003337442","HathiTrust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HYPERLINK("https://creighton-primo.hosted.exlibrisgroup.com/primo-explore/search?tab=default_tab&amp;search_scope=EVERYTHING&amp;vid=01CRU&amp;lang=en_US&amp;offset=0&amp;query=any,contains,991000277069702656","Catalog Record")</f>
        <v>Catalog Record</v>
      </c>
      <c r="AT409" s="6" t="str">
        <f>HYPERLINK("http://www.worldcat.org/oclc/40698392","WorldCat Record")</f>
        <v>WorldCat Record</v>
      </c>
    </row>
    <row r="410" spans="1:46" ht="40.5" customHeight="1" x14ac:dyDescent="0.25">
      <c r="A410" s="8" t="s">
        <v>58</v>
      </c>
      <c r="B410" s="2" t="s">
        <v>3267</v>
      </c>
      <c r="C410" s="2" t="s">
        <v>3268</v>
      </c>
      <c r="D410" s="2" t="s">
        <v>3269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3270</v>
      </c>
      <c r="L410" s="2" t="s">
        <v>3271</v>
      </c>
      <c r="M410" s="3" t="s">
        <v>725</v>
      </c>
      <c r="O410" s="3" t="s">
        <v>64</v>
      </c>
      <c r="P410" s="3" t="s">
        <v>1355</v>
      </c>
      <c r="R410" s="3" t="s">
        <v>1346</v>
      </c>
      <c r="S410" s="4">
        <v>9</v>
      </c>
      <c r="T410" s="4">
        <v>9</v>
      </c>
      <c r="U410" s="5" t="s">
        <v>3272</v>
      </c>
      <c r="V410" s="5" t="s">
        <v>3272</v>
      </c>
      <c r="W410" s="5" t="s">
        <v>2918</v>
      </c>
      <c r="X410" s="5" t="s">
        <v>2918</v>
      </c>
      <c r="Y410" s="4">
        <v>103</v>
      </c>
      <c r="Z410" s="4">
        <v>76</v>
      </c>
      <c r="AA410" s="4">
        <v>78</v>
      </c>
      <c r="AB410" s="4">
        <v>1</v>
      </c>
      <c r="AC410" s="4">
        <v>1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3" t="s">
        <v>58</v>
      </c>
      <c r="AQ410" s="3" t="s">
        <v>115</v>
      </c>
      <c r="AR410" s="6" t="str">
        <f>HYPERLINK("http://catalog.hathitrust.org/Record/000773463","HathiTrust Record")</f>
        <v>HathiTrust Record</v>
      </c>
      <c r="AS410" s="6" t="str">
        <f>HYPERLINK("https://creighton-primo.hosted.exlibrisgroup.com/primo-explore/search?tab=default_tab&amp;search_scope=EVERYTHING&amp;vid=01CRU&amp;lang=en_US&amp;offset=0&amp;query=any,contains,991000958539702656","Catalog Record")</f>
        <v>Catalog Record</v>
      </c>
      <c r="AT410" s="6" t="str">
        <f>HYPERLINK("http://www.worldcat.org/oclc/8668580","WorldCat Record")</f>
        <v>WorldCat Record</v>
      </c>
    </row>
    <row r="411" spans="1:46" ht="40.5" customHeight="1" x14ac:dyDescent="0.25">
      <c r="A411" s="8" t="s">
        <v>58</v>
      </c>
      <c r="B411" s="2" t="s">
        <v>3273</v>
      </c>
      <c r="C411" s="2" t="s">
        <v>3274</v>
      </c>
      <c r="D411" s="2" t="s">
        <v>3275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3276</v>
      </c>
      <c r="L411" s="2" t="s">
        <v>3277</v>
      </c>
      <c r="M411" s="3" t="s">
        <v>290</v>
      </c>
      <c r="O411" s="3" t="s">
        <v>64</v>
      </c>
      <c r="P411" s="3" t="s">
        <v>65</v>
      </c>
      <c r="R411" s="3" t="s">
        <v>1346</v>
      </c>
      <c r="S411" s="4">
        <v>5</v>
      </c>
      <c r="T411" s="4">
        <v>5</v>
      </c>
      <c r="U411" s="5" t="s">
        <v>3278</v>
      </c>
      <c r="V411" s="5" t="s">
        <v>3278</v>
      </c>
      <c r="W411" s="5" t="s">
        <v>3279</v>
      </c>
      <c r="X411" s="5" t="s">
        <v>3279</v>
      </c>
      <c r="Y411" s="4">
        <v>280</v>
      </c>
      <c r="Z411" s="4">
        <v>268</v>
      </c>
      <c r="AA411" s="4">
        <v>493</v>
      </c>
      <c r="AB411" s="4">
        <v>1</v>
      </c>
      <c r="AC411" s="4">
        <v>4</v>
      </c>
      <c r="AD411" s="4">
        <v>2</v>
      </c>
      <c r="AE411" s="4">
        <v>2</v>
      </c>
      <c r="AF411" s="4">
        <v>1</v>
      </c>
      <c r="AG411" s="4">
        <v>1</v>
      </c>
      <c r="AH411" s="4">
        <v>1</v>
      </c>
      <c r="AI411" s="4">
        <v>1</v>
      </c>
      <c r="AJ411" s="4">
        <v>1</v>
      </c>
      <c r="AK411" s="4">
        <v>1</v>
      </c>
      <c r="AL411" s="4">
        <v>0</v>
      </c>
      <c r="AM411" s="4">
        <v>0</v>
      </c>
      <c r="AN411" s="4">
        <v>0</v>
      </c>
      <c r="AO411" s="4">
        <v>0</v>
      </c>
      <c r="AP411" s="3" t="s">
        <v>58</v>
      </c>
      <c r="AQ411" s="3" t="s">
        <v>115</v>
      </c>
      <c r="AR411" s="6" t="str">
        <f>HYPERLINK("http://catalog.hathitrust.org/Record/001096641","HathiTrust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HYPERLINK("https://creighton-primo.hosted.exlibrisgroup.com/primo-explore/search?tab=default_tab&amp;search_scope=EVERYTHING&amp;vid=01CRU&amp;lang=en_US&amp;offset=0&amp;query=any,contains,991001416239702656","Catalog Record")</f>
        <v>Catalog Record</v>
      </c>
      <c r="AT411" s="6" t="str">
        <f>HYPERLINK("http://www.worldcat.org/oclc/19723895","WorldCat Record")</f>
        <v>WorldCat Record</v>
      </c>
    </row>
    <row r="412" spans="1:46" ht="40.5" customHeight="1" x14ac:dyDescent="0.25">
      <c r="A412" s="8" t="s">
        <v>58</v>
      </c>
      <c r="B412" s="2" t="s">
        <v>3280</v>
      </c>
      <c r="C412" s="2" t="s">
        <v>3281</v>
      </c>
      <c r="D412" s="2" t="s">
        <v>3282</v>
      </c>
      <c r="E412" s="3" t="s">
        <v>3283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L412" s="2" t="s">
        <v>3284</v>
      </c>
      <c r="M412" s="3" t="s">
        <v>1122</v>
      </c>
      <c r="O412" s="3" t="s">
        <v>64</v>
      </c>
      <c r="P412" s="3" t="s">
        <v>1355</v>
      </c>
      <c r="Q412" s="2" t="s">
        <v>3285</v>
      </c>
      <c r="R412" s="3" t="s">
        <v>1346</v>
      </c>
      <c r="S412" s="4">
        <v>5</v>
      </c>
      <c r="T412" s="4">
        <v>5</v>
      </c>
      <c r="U412" s="5" t="s">
        <v>3286</v>
      </c>
      <c r="V412" s="5" t="s">
        <v>3286</v>
      </c>
      <c r="W412" s="5" t="s">
        <v>1676</v>
      </c>
      <c r="X412" s="5" t="s">
        <v>1676</v>
      </c>
      <c r="Y412" s="4">
        <v>119</v>
      </c>
      <c r="Z412" s="4">
        <v>86</v>
      </c>
      <c r="AA412" s="4">
        <v>86</v>
      </c>
      <c r="AB412" s="4">
        <v>1</v>
      </c>
      <c r="AC412" s="4">
        <v>1</v>
      </c>
      <c r="AD412" s="4">
        <v>4</v>
      </c>
      <c r="AE412" s="4">
        <v>4</v>
      </c>
      <c r="AF412" s="4">
        <v>0</v>
      </c>
      <c r="AG412" s="4">
        <v>0</v>
      </c>
      <c r="AH412" s="4">
        <v>2</v>
      </c>
      <c r="AI412" s="4">
        <v>2</v>
      </c>
      <c r="AJ412" s="4">
        <v>3</v>
      </c>
      <c r="AK412" s="4">
        <v>3</v>
      </c>
      <c r="AL412" s="4">
        <v>0</v>
      </c>
      <c r="AM412" s="4">
        <v>0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HYPERLINK("https://creighton-primo.hosted.exlibrisgroup.com/primo-explore/search?tab=default_tab&amp;search_scope=EVERYTHING&amp;vid=01CRU&amp;lang=en_US&amp;offset=0&amp;query=any,contains,991001453489702656","Catalog Record")</f>
        <v>Catalog Record</v>
      </c>
      <c r="AT412" s="6" t="str">
        <f>HYPERLINK("http://www.worldcat.org/oclc/20593692","WorldCat Record")</f>
        <v>WorldCat Record</v>
      </c>
    </row>
    <row r="413" spans="1:46" ht="40.5" customHeight="1" x14ac:dyDescent="0.25">
      <c r="A413" s="8" t="s">
        <v>58</v>
      </c>
      <c r="B413" s="2" t="s">
        <v>3287</v>
      </c>
      <c r="C413" s="2" t="s">
        <v>3288</v>
      </c>
      <c r="D413" s="2" t="s">
        <v>3289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3290</v>
      </c>
      <c r="L413" s="2" t="s">
        <v>3291</v>
      </c>
      <c r="M413" s="3" t="s">
        <v>1177</v>
      </c>
      <c r="O413" s="3" t="s">
        <v>64</v>
      </c>
      <c r="P413" s="3" t="s">
        <v>585</v>
      </c>
      <c r="R413" s="3" t="s">
        <v>1346</v>
      </c>
      <c r="S413" s="4">
        <v>14</v>
      </c>
      <c r="T413" s="4">
        <v>14</v>
      </c>
      <c r="U413" s="5" t="s">
        <v>3286</v>
      </c>
      <c r="V413" s="5" t="s">
        <v>3286</v>
      </c>
      <c r="W413" s="5" t="s">
        <v>3292</v>
      </c>
      <c r="X413" s="5" t="s">
        <v>3292</v>
      </c>
      <c r="Y413" s="4">
        <v>64</v>
      </c>
      <c r="Z413" s="4">
        <v>47</v>
      </c>
      <c r="AA413" s="4">
        <v>67</v>
      </c>
      <c r="AB413" s="4">
        <v>1</v>
      </c>
      <c r="AC413" s="4">
        <v>1</v>
      </c>
      <c r="AD413" s="4">
        <v>1</v>
      </c>
      <c r="AE413" s="4">
        <v>1</v>
      </c>
      <c r="AF413" s="4">
        <v>0</v>
      </c>
      <c r="AG413" s="4">
        <v>0</v>
      </c>
      <c r="AH413" s="4">
        <v>1</v>
      </c>
      <c r="AI413" s="4">
        <v>1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3" t="s">
        <v>58</v>
      </c>
      <c r="AQ413" s="3" t="s">
        <v>115</v>
      </c>
      <c r="AR413" s="6" t="str">
        <f>HYPERLINK("http://catalog.hathitrust.org/Record/000874654","HathiTrust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HYPERLINK("https://creighton-primo.hosted.exlibrisgroup.com/primo-explore/search?tab=default_tab&amp;search_scope=EVERYTHING&amp;vid=01CRU&amp;lang=en_US&amp;offset=0&amp;query=any,contains,991001532719702656","Catalog Record")</f>
        <v>Catalog Record</v>
      </c>
      <c r="AT413" s="6" t="str">
        <f>HYPERLINK("http://www.worldcat.org/oclc/17804962","WorldCat Record")</f>
        <v>WorldCat Record</v>
      </c>
    </row>
    <row r="414" spans="1:46" ht="40.5" customHeight="1" x14ac:dyDescent="0.25">
      <c r="A414" s="8" t="s">
        <v>58</v>
      </c>
      <c r="B414" s="2" t="s">
        <v>3293</v>
      </c>
      <c r="C414" s="2" t="s">
        <v>3294</v>
      </c>
      <c r="D414" s="2" t="s">
        <v>3295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3296</v>
      </c>
      <c r="L414" s="2" t="s">
        <v>3297</v>
      </c>
      <c r="M414" s="3" t="s">
        <v>3298</v>
      </c>
      <c r="O414" s="3" t="s">
        <v>64</v>
      </c>
      <c r="P414" s="3" t="s">
        <v>65</v>
      </c>
      <c r="R414" s="3" t="s">
        <v>1346</v>
      </c>
      <c r="S414" s="4">
        <v>5</v>
      </c>
      <c r="T414" s="4">
        <v>5</v>
      </c>
      <c r="U414" s="5" t="s">
        <v>3148</v>
      </c>
      <c r="V414" s="5" t="s">
        <v>3148</v>
      </c>
      <c r="W414" s="5" t="s">
        <v>2918</v>
      </c>
      <c r="X414" s="5" t="s">
        <v>2918</v>
      </c>
      <c r="Y414" s="4">
        <v>64</v>
      </c>
      <c r="Z414" s="4">
        <v>52</v>
      </c>
      <c r="AA414" s="4">
        <v>201</v>
      </c>
      <c r="AB414" s="4">
        <v>1</v>
      </c>
      <c r="AC414" s="4">
        <v>2</v>
      </c>
      <c r="AD414" s="4">
        <v>1</v>
      </c>
      <c r="AE414" s="4">
        <v>5</v>
      </c>
      <c r="AF414" s="4">
        <v>0</v>
      </c>
      <c r="AG414" s="4">
        <v>2</v>
      </c>
      <c r="AH414" s="4">
        <v>1</v>
      </c>
      <c r="AI414" s="4">
        <v>1</v>
      </c>
      <c r="AJ414" s="4">
        <v>0</v>
      </c>
      <c r="AK414" s="4">
        <v>3</v>
      </c>
      <c r="AL414" s="4">
        <v>0</v>
      </c>
      <c r="AM414" s="4">
        <v>1</v>
      </c>
      <c r="AN414" s="4">
        <v>0</v>
      </c>
      <c r="AO414" s="4">
        <v>0</v>
      </c>
      <c r="AP414" s="3" t="s">
        <v>58</v>
      </c>
      <c r="AQ414" s="3" t="s">
        <v>115</v>
      </c>
      <c r="AR414" s="6" t="str">
        <f>HYPERLINK("http://catalog.hathitrust.org/Record/001573075","HathiTrust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HYPERLINK("https://creighton-primo.hosted.exlibrisgroup.com/primo-explore/search?tab=default_tab&amp;search_scope=EVERYTHING&amp;vid=01CRU&amp;lang=en_US&amp;offset=0&amp;query=any,contains,991000958499702656","Catalog Record")</f>
        <v>Catalog Record</v>
      </c>
      <c r="AT414" s="6" t="str">
        <f>HYPERLINK("http://www.worldcat.org/oclc/12967924","WorldCat Record")</f>
        <v>WorldCat Record</v>
      </c>
    </row>
    <row r="415" spans="1:46" ht="40.5" customHeight="1" x14ac:dyDescent="0.25">
      <c r="A415" s="8" t="s">
        <v>58</v>
      </c>
      <c r="B415" s="2" t="s">
        <v>3299</v>
      </c>
      <c r="C415" s="2" t="s">
        <v>3300</v>
      </c>
      <c r="D415" s="2" t="s">
        <v>3301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L415" s="2" t="s">
        <v>3302</v>
      </c>
      <c r="M415" s="3" t="s">
        <v>515</v>
      </c>
      <c r="O415" s="3" t="s">
        <v>64</v>
      </c>
      <c r="P415" s="3" t="s">
        <v>1355</v>
      </c>
      <c r="R415" s="3" t="s">
        <v>1346</v>
      </c>
      <c r="S415" s="4">
        <v>12</v>
      </c>
      <c r="T415" s="4">
        <v>12</v>
      </c>
      <c r="U415" s="5" t="s">
        <v>3286</v>
      </c>
      <c r="V415" s="5" t="s">
        <v>3286</v>
      </c>
      <c r="W415" s="5" t="s">
        <v>2918</v>
      </c>
      <c r="X415" s="5" t="s">
        <v>2918</v>
      </c>
      <c r="Y415" s="4">
        <v>131</v>
      </c>
      <c r="Z415" s="4">
        <v>98</v>
      </c>
      <c r="AA415" s="4">
        <v>101</v>
      </c>
      <c r="AB415" s="4">
        <v>1</v>
      </c>
      <c r="AC415" s="4">
        <v>1</v>
      </c>
      <c r="AD415" s="4">
        <v>3</v>
      </c>
      <c r="AE415" s="4">
        <v>3</v>
      </c>
      <c r="AF415" s="4">
        <v>1</v>
      </c>
      <c r="AG415" s="4">
        <v>1</v>
      </c>
      <c r="AH415" s="4">
        <v>2</v>
      </c>
      <c r="AI415" s="4">
        <v>2</v>
      </c>
      <c r="AJ415" s="4">
        <v>2</v>
      </c>
      <c r="AK415" s="4">
        <v>2</v>
      </c>
      <c r="AL415" s="4">
        <v>0</v>
      </c>
      <c r="AM415" s="4">
        <v>0</v>
      </c>
      <c r="AN415" s="4">
        <v>0</v>
      </c>
      <c r="AO415" s="4">
        <v>0</v>
      </c>
      <c r="AP415" s="3" t="s">
        <v>58</v>
      </c>
      <c r="AQ415" s="3" t="s">
        <v>115</v>
      </c>
      <c r="AR415" s="6" t="str">
        <f>HYPERLINK("http://catalog.hathitrust.org/Record/000401306","HathiTrust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HYPERLINK("https://creighton-primo.hosted.exlibrisgroup.com/primo-explore/search?tab=default_tab&amp;search_scope=EVERYTHING&amp;vid=01CRU&amp;lang=en_US&amp;offset=0&amp;query=any,contains,991000958429702656","Catalog Record")</f>
        <v>Catalog Record</v>
      </c>
      <c r="AT415" s="6" t="str">
        <f>HYPERLINK("http://www.worldcat.org/oclc/12550147","WorldCat Record")</f>
        <v>WorldCat Record</v>
      </c>
    </row>
    <row r="416" spans="1:46" ht="40.5" customHeight="1" x14ac:dyDescent="0.25">
      <c r="A416" s="8" t="s">
        <v>58</v>
      </c>
      <c r="B416" s="2" t="s">
        <v>3303</v>
      </c>
      <c r="C416" s="2" t="s">
        <v>3304</v>
      </c>
      <c r="D416" s="2" t="s">
        <v>3305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60</v>
      </c>
      <c r="L416" s="2" t="s">
        <v>3306</v>
      </c>
      <c r="M416" s="3" t="s">
        <v>142</v>
      </c>
      <c r="O416" s="3" t="s">
        <v>64</v>
      </c>
      <c r="P416" s="3" t="s">
        <v>1355</v>
      </c>
      <c r="R416" s="3" t="s">
        <v>1346</v>
      </c>
      <c r="S416" s="4">
        <v>4</v>
      </c>
      <c r="T416" s="4">
        <v>4</v>
      </c>
      <c r="U416" s="5" t="s">
        <v>3307</v>
      </c>
      <c r="V416" s="5" t="s">
        <v>3307</v>
      </c>
      <c r="W416" s="5" t="s">
        <v>3308</v>
      </c>
      <c r="X416" s="5" t="s">
        <v>3308</v>
      </c>
      <c r="Y416" s="4">
        <v>65</v>
      </c>
      <c r="Z416" s="4">
        <v>57</v>
      </c>
      <c r="AA416" s="4">
        <v>72</v>
      </c>
      <c r="AB416" s="4">
        <v>1</v>
      </c>
      <c r="AC416" s="4">
        <v>1</v>
      </c>
      <c r="AD416" s="4">
        <v>1</v>
      </c>
      <c r="AE416" s="4">
        <v>1</v>
      </c>
      <c r="AF416" s="4">
        <v>0</v>
      </c>
      <c r="AG416" s="4">
        <v>0</v>
      </c>
      <c r="AH416" s="4">
        <v>1</v>
      </c>
      <c r="AI416" s="4">
        <v>1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3" t="s">
        <v>58</v>
      </c>
      <c r="AQ416" s="3" t="s">
        <v>115</v>
      </c>
      <c r="AR416" s="6" t="str">
        <f>HYPERLINK("http://catalog.hathitrust.org/Record/002228222","HathiTrust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HYPERLINK("https://creighton-primo.hosted.exlibrisgroup.com/primo-explore/search?tab=default_tab&amp;search_scope=EVERYTHING&amp;vid=01CRU&amp;lang=en_US&amp;offset=0&amp;query=any,contains,991000816549702656","Catalog Record")</f>
        <v>Catalog Record</v>
      </c>
      <c r="AT416" s="6" t="str">
        <f>HYPERLINK("http://www.worldcat.org/oclc/20993285","WorldCat Record")</f>
        <v>WorldCat Record</v>
      </c>
    </row>
    <row r="417" spans="1:46" ht="40.5" customHeight="1" x14ac:dyDescent="0.25">
      <c r="A417" s="8" t="s">
        <v>58</v>
      </c>
      <c r="B417" s="2" t="s">
        <v>3309</v>
      </c>
      <c r="C417" s="2" t="s">
        <v>3310</v>
      </c>
      <c r="D417" s="2" t="s">
        <v>3311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3312</v>
      </c>
      <c r="L417" s="2" t="s">
        <v>3313</v>
      </c>
      <c r="M417" s="3" t="s">
        <v>3314</v>
      </c>
      <c r="O417" s="3" t="s">
        <v>64</v>
      </c>
      <c r="P417" s="3" t="s">
        <v>2394</v>
      </c>
      <c r="R417" s="3" t="s">
        <v>1346</v>
      </c>
      <c r="S417" s="4">
        <v>6</v>
      </c>
      <c r="T417" s="4">
        <v>6</v>
      </c>
      <c r="U417" s="5" t="s">
        <v>3286</v>
      </c>
      <c r="V417" s="5" t="s">
        <v>3286</v>
      </c>
      <c r="W417" s="5" t="s">
        <v>3156</v>
      </c>
      <c r="X417" s="5" t="s">
        <v>3156</v>
      </c>
      <c r="Y417" s="4">
        <v>142</v>
      </c>
      <c r="Z417" s="4">
        <v>99</v>
      </c>
      <c r="AA417" s="4">
        <v>101</v>
      </c>
      <c r="AB417" s="4">
        <v>1</v>
      </c>
      <c r="AC417" s="4">
        <v>1</v>
      </c>
      <c r="AD417" s="4">
        <v>4</v>
      </c>
      <c r="AE417" s="4">
        <v>4</v>
      </c>
      <c r="AF417" s="4">
        <v>3</v>
      </c>
      <c r="AG417" s="4">
        <v>3</v>
      </c>
      <c r="AH417" s="4">
        <v>2</v>
      </c>
      <c r="AI417" s="4">
        <v>2</v>
      </c>
      <c r="AJ417" s="4">
        <v>1</v>
      </c>
      <c r="AK417" s="4">
        <v>1</v>
      </c>
      <c r="AL417" s="4">
        <v>0</v>
      </c>
      <c r="AM417" s="4">
        <v>0</v>
      </c>
      <c r="AN417" s="4">
        <v>0</v>
      </c>
      <c r="AO417" s="4">
        <v>0</v>
      </c>
      <c r="AP417" s="3" t="s">
        <v>58</v>
      </c>
      <c r="AQ417" s="3" t="s">
        <v>58</v>
      </c>
      <c r="AR417" s="6" t="str">
        <f>HYPERLINK("http://catalog.hathitrust.org/Record/001573202","HathiTrust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HYPERLINK("https://creighton-primo.hosted.exlibrisgroup.com/primo-explore/search?tab=default_tab&amp;search_scope=EVERYTHING&amp;vid=01CRU&amp;lang=en_US&amp;offset=0&amp;query=any,contains,991000958389702656","Catalog Record")</f>
        <v>Catalog Record</v>
      </c>
      <c r="AT417" s="6" t="str">
        <f>HYPERLINK("http://www.worldcat.org/oclc/1628783","WorldCat Record")</f>
        <v>WorldCat Record</v>
      </c>
    </row>
    <row r="418" spans="1:46" ht="40.5" customHeight="1" x14ac:dyDescent="0.25">
      <c r="A418" s="8" t="s">
        <v>58</v>
      </c>
      <c r="B418" s="2" t="s">
        <v>3315</v>
      </c>
      <c r="C418" s="2" t="s">
        <v>3316</v>
      </c>
      <c r="D418" s="2" t="s">
        <v>3317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L418" s="2" t="s">
        <v>3318</v>
      </c>
      <c r="M418" s="3" t="s">
        <v>698</v>
      </c>
      <c r="O418" s="3" t="s">
        <v>64</v>
      </c>
      <c r="P418" s="3" t="s">
        <v>643</v>
      </c>
      <c r="R418" s="3" t="s">
        <v>1346</v>
      </c>
      <c r="S418" s="4">
        <v>11</v>
      </c>
      <c r="T418" s="4">
        <v>11</v>
      </c>
      <c r="U418" s="5" t="s">
        <v>3286</v>
      </c>
      <c r="V418" s="5" t="s">
        <v>3286</v>
      </c>
      <c r="W418" s="5" t="s">
        <v>3156</v>
      </c>
      <c r="X418" s="5" t="s">
        <v>3156</v>
      </c>
      <c r="Y418" s="4">
        <v>200</v>
      </c>
      <c r="Z418" s="4">
        <v>185</v>
      </c>
      <c r="AA418" s="4">
        <v>203</v>
      </c>
      <c r="AB418" s="4">
        <v>2</v>
      </c>
      <c r="AC418" s="4">
        <v>2</v>
      </c>
      <c r="AD418" s="4">
        <v>5</v>
      </c>
      <c r="AE418" s="4">
        <v>5</v>
      </c>
      <c r="AF418" s="4">
        <v>2</v>
      </c>
      <c r="AG418" s="4">
        <v>2</v>
      </c>
      <c r="AH418" s="4">
        <v>1</v>
      </c>
      <c r="AI418" s="4">
        <v>1</v>
      </c>
      <c r="AJ418" s="4">
        <v>2</v>
      </c>
      <c r="AK418" s="4">
        <v>2</v>
      </c>
      <c r="AL418" s="4">
        <v>1</v>
      </c>
      <c r="AM418" s="4">
        <v>1</v>
      </c>
      <c r="AN418" s="4">
        <v>0</v>
      </c>
      <c r="AO418" s="4">
        <v>0</v>
      </c>
      <c r="AP418" s="3" t="s">
        <v>58</v>
      </c>
      <c r="AQ418" s="3" t="s">
        <v>115</v>
      </c>
      <c r="AR418" s="6" t="str">
        <f>HYPERLINK("http://catalog.hathitrust.org/Record/001573100","HathiTrust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HYPERLINK("https://creighton-primo.hosted.exlibrisgroup.com/primo-explore/search?tab=default_tab&amp;search_scope=EVERYTHING&amp;vid=01CRU&amp;lang=en_US&amp;offset=0&amp;query=any,contains,991000959109702656","Catalog Record")</f>
        <v>Catalog Record</v>
      </c>
      <c r="AT418" s="6" t="str">
        <f>HYPERLINK("http://www.worldcat.org/oclc/516339","WorldCat Record")</f>
        <v>WorldCat Record</v>
      </c>
    </row>
    <row r="419" spans="1:46" ht="40.5" customHeight="1" x14ac:dyDescent="0.25">
      <c r="A419" s="8" t="s">
        <v>58</v>
      </c>
      <c r="B419" s="2" t="s">
        <v>3319</v>
      </c>
      <c r="C419" s="2" t="s">
        <v>3320</v>
      </c>
      <c r="D419" s="2" t="s">
        <v>3321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L419" s="2" t="s">
        <v>3322</v>
      </c>
      <c r="M419" s="3" t="s">
        <v>921</v>
      </c>
      <c r="O419" s="3" t="s">
        <v>64</v>
      </c>
      <c r="P419" s="3" t="s">
        <v>112</v>
      </c>
      <c r="R419" s="3" t="s">
        <v>1346</v>
      </c>
      <c r="S419" s="4">
        <v>17</v>
      </c>
      <c r="T419" s="4">
        <v>17</v>
      </c>
      <c r="U419" s="5" t="s">
        <v>2573</v>
      </c>
      <c r="V419" s="5" t="s">
        <v>2573</v>
      </c>
      <c r="W419" s="5" t="s">
        <v>3323</v>
      </c>
      <c r="X419" s="5" t="s">
        <v>3323</v>
      </c>
      <c r="Y419" s="4">
        <v>120</v>
      </c>
      <c r="Z419" s="4">
        <v>62</v>
      </c>
      <c r="AA419" s="4">
        <v>101</v>
      </c>
      <c r="AB419" s="4">
        <v>1</v>
      </c>
      <c r="AC419" s="4">
        <v>1</v>
      </c>
      <c r="AD419" s="4">
        <v>2</v>
      </c>
      <c r="AE419" s="4">
        <v>2</v>
      </c>
      <c r="AF419" s="4">
        <v>2</v>
      </c>
      <c r="AG419" s="4">
        <v>2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3" t="s">
        <v>58</v>
      </c>
      <c r="AQ419" s="3" t="s">
        <v>58</v>
      </c>
      <c r="AS419" s="6" t="str">
        <f>HYPERLINK("https://creighton-primo.hosted.exlibrisgroup.com/primo-explore/search?tab=default_tab&amp;search_scope=EVERYTHING&amp;vid=01CRU&amp;lang=en_US&amp;offset=0&amp;query=any,contains,991000431259702656","Catalog Record")</f>
        <v>Catalog Record</v>
      </c>
      <c r="AT419" s="6" t="str">
        <f>HYPERLINK("http://www.worldcat.org/oclc/49044343","WorldCat Record")</f>
        <v>WorldCat Record</v>
      </c>
    </row>
    <row r="420" spans="1:46" ht="40.5" customHeight="1" x14ac:dyDescent="0.25">
      <c r="A420" s="8" t="s">
        <v>58</v>
      </c>
      <c r="B420" s="2" t="s">
        <v>3324</v>
      </c>
      <c r="C420" s="2" t="s">
        <v>3325</v>
      </c>
      <c r="D420" s="2" t="s">
        <v>3326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L420" s="2" t="s">
        <v>3327</v>
      </c>
      <c r="M420" s="3" t="s">
        <v>892</v>
      </c>
      <c r="O420" s="3" t="s">
        <v>64</v>
      </c>
      <c r="P420" s="3" t="s">
        <v>112</v>
      </c>
      <c r="R420" s="3" t="s">
        <v>1346</v>
      </c>
      <c r="S420" s="4">
        <v>2</v>
      </c>
      <c r="T420" s="4">
        <v>2</v>
      </c>
      <c r="U420" s="5" t="s">
        <v>2573</v>
      </c>
      <c r="V420" s="5" t="s">
        <v>2573</v>
      </c>
      <c r="W420" s="5" t="s">
        <v>3328</v>
      </c>
      <c r="X420" s="5" t="s">
        <v>3328</v>
      </c>
      <c r="Y420" s="4">
        <v>107</v>
      </c>
      <c r="Z420" s="4">
        <v>101</v>
      </c>
      <c r="AA420" s="4">
        <v>104</v>
      </c>
      <c r="AB420" s="4">
        <v>1</v>
      </c>
      <c r="AC420" s="4">
        <v>1</v>
      </c>
      <c r="AD420" s="4">
        <v>3</v>
      </c>
      <c r="AE420" s="4">
        <v>3</v>
      </c>
      <c r="AF420" s="4">
        <v>0</v>
      </c>
      <c r="AG420" s="4">
        <v>0</v>
      </c>
      <c r="AH420" s="4">
        <v>1</v>
      </c>
      <c r="AI420" s="4">
        <v>1</v>
      </c>
      <c r="AJ420" s="4">
        <v>2</v>
      </c>
      <c r="AK420" s="4">
        <v>2</v>
      </c>
      <c r="AL420" s="4">
        <v>0</v>
      </c>
      <c r="AM420" s="4">
        <v>0</v>
      </c>
      <c r="AN420" s="4">
        <v>0</v>
      </c>
      <c r="AO420" s="4">
        <v>0</v>
      </c>
      <c r="AP420" s="3" t="s">
        <v>58</v>
      </c>
      <c r="AQ420" s="3" t="s">
        <v>115</v>
      </c>
      <c r="AR420" s="6" t="str">
        <f>HYPERLINK("http://catalog.hathitrust.org/Record/004198191","HathiTrust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HYPERLINK("https://creighton-primo.hosted.exlibrisgroup.com/primo-explore/search?tab=default_tab&amp;search_scope=EVERYTHING&amp;vid=01CRU&amp;lang=en_US&amp;offset=0&amp;query=any,contains,991000302779702656","Catalog Record")</f>
        <v>Catalog Record</v>
      </c>
      <c r="AT420" s="6" t="str">
        <f>HYPERLINK("http://www.worldcat.org/oclc/41558655","WorldCat Record")</f>
        <v>WorldCat Record</v>
      </c>
    </row>
    <row r="421" spans="1:46" ht="40.5" customHeight="1" x14ac:dyDescent="0.25">
      <c r="A421" s="8" t="s">
        <v>58</v>
      </c>
      <c r="B421" s="2" t="s">
        <v>3329</v>
      </c>
      <c r="C421" s="2" t="s">
        <v>3330</v>
      </c>
      <c r="D421" s="2" t="s">
        <v>3331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L421" s="2" t="s">
        <v>3332</v>
      </c>
      <c r="M421" s="3" t="s">
        <v>142</v>
      </c>
      <c r="O421" s="3" t="s">
        <v>64</v>
      </c>
      <c r="P421" s="3" t="s">
        <v>65</v>
      </c>
      <c r="Q421" s="2" t="s">
        <v>3333</v>
      </c>
      <c r="R421" s="3" t="s">
        <v>1346</v>
      </c>
      <c r="S421" s="4">
        <v>11</v>
      </c>
      <c r="T421" s="4">
        <v>11</v>
      </c>
      <c r="U421" s="5" t="s">
        <v>3334</v>
      </c>
      <c r="V421" s="5" t="s">
        <v>3334</v>
      </c>
      <c r="W421" s="5" t="s">
        <v>3335</v>
      </c>
      <c r="X421" s="5" t="s">
        <v>3335</v>
      </c>
      <c r="Y421" s="4">
        <v>134</v>
      </c>
      <c r="Z421" s="4">
        <v>100</v>
      </c>
      <c r="AA421" s="4">
        <v>100</v>
      </c>
      <c r="AB421" s="4">
        <v>1</v>
      </c>
      <c r="AC421" s="4">
        <v>1</v>
      </c>
      <c r="AD421" s="4">
        <v>4</v>
      </c>
      <c r="AE421" s="4">
        <v>4</v>
      </c>
      <c r="AF421" s="4">
        <v>1</v>
      </c>
      <c r="AG421" s="4">
        <v>1</v>
      </c>
      <c r="AH421" s="4">
        <v>1</v>
      </c>
      <c r="AI421" s="4">
        <v>1</v>
      </c>
      <c r="AJ421" s="4">
        <v>2</v>
      </c>
      <c r="AK421" s="4">
        <v>2</v>
      </c>
      <c r="AL421" s="4">
        <v>0</v>
      </c>
      <c r="AM421" s="4">
        <v>0</v>
      </c>
      <c r="AN421" s="4">
        <v>0</v>
      </c>
      <c r="AO421" s="4">
        <v>0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HYPERLINK("https://creighton-primo.hosted.exlibrisgroup.com/primo-explore/search?tab=default_tab&amp;search_scope=EVERYTHING&amp;vid=01CRU&amp;lang=en_US&amp;offset=0&amp;query=any,contains,991001017509702656","Catalog Record")</f>
        <v>Catalog Record</v>
      </c>
      <c r="AT421" s="6" t="str">
        <f>HYPERLINK("http://www.worldcat.org/oclc/22452703","WorldCat Record")</f>
        <v>WorldCat Record</v>
      </c>
    </row>
    <row r="422" spans="1:46" ht="40.5" customHeight="1" x14ac:dyDescent="0.25">
      <c r="A422" s="8" t="s">
        <v>58</v>
      </c>
      <c r="B422" s="2" t="s">
        <v>3336</v>
      </c>
      <c r="C422" s="2" t="s">
        <v>3337</v>
      </c>
      <c r="D422" s="2" t="s">
        <v>3338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L422" s="2" t="s">
        <v>3339</v>
      </c>
      <c r="M422" s="3" t="s">
        <v>306</v>
      </c>
      <c r="O422" s="3" t="s">
        <v>64</v>
      </c>
      <c r="P422" s="3" t="s">
        <v>1512</v>
      </c>
      <c r="R422" s="3" t="s">
        <v>1346</v>
      </c>
      <c r="S422" s="4">
        <v>3</v>
      </c>
      <c r="T422" s="4">
        <v>3</v>
      </c>
      <c r="U422" s="5" t="s">
        <v>2573</v>
      </c>
      <c r="V422" s="5" t="s">
        <v>2573</v>
      </c>
      <c r="W422" s="5" t="s">
        <v>3328</v>
      </c>
      <c r="X422" s="5" t="s">
        <v>3328</v>
      </c>
      <c r="Y422" s="4">
        <v>213</v>
      </c>
      <c r="Z422" s="4">
        <v>200</v>
      </c>
      <c r="AA422" s="4">
        <v>233</v>
      </c>
      <c r="AB422" s="4">
        <v>1</v>
      </c>
      <c r="AC422" s="4">
        <v>1</v>
      </c>
      <c r="AD422" s="4">
        <v>5</v>
      </c>
      <c r="AE422" s="4">
        <v>6</v>
      </c>
      <c r="AF422" s="4">
        <v>1</v>
      </c>
      <c r="AG422" s="4">
        <v>2</v>
      </c>
      <c r="AH422" s="4">
        <v>2</v>
      </c>
      <c r="AI422" s="4">
        <v>2</v>
      </c>
      <c r="AJ422" s="4">
        <v>2</v>
      </c>
      <c r="AK422" s="4">
        <v>3</v>
      </c>
      <c r="AL422" s="4">
        <v>0</v>
      </c>
      <c r="AM422" s="4">
        <v>0</v>
      </c>
      <c r="AN422" s="4">
        <v>0</v>
      </c>
      <c r="AO422" s="4">
        <v>0</v>
      </c>
      <c r="AP422" s="3" t="s">
        <v>58</v>
      </c>
      <c r="AQ422" s="3" t="s">
        <v>115</v>
      </c>
      <c r="AR422" s="6" t="str">
        <f>HYPERLINK("http://catalog.hathitrust.org/Record/003136122","HathiTrust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HYPERLINK("https://creighton-primo.hosted.exlibrisgroup.com/primo-explore/search?tab=default_tab&amp;search_scope=EVERYTHING&amp;vid=01CRU&amp;lang=en_US&amp;offset=0&amp;query=any,contains,991000302819702656","Catalog Record")</f>
        <v>Catalog Record</v>
      </c>
      <c r="AT422" s="6" t="str">
        <f>HYPERLINK("http://www.worldcat.org/oclc/36842482","WorldCat Record")</f>
        <v>WorldCat Record</v>
      </c>
    </row>
    <row r="423" spans="1:46" ht="40.5" customHeight="1" x14ac:dyDescent="0.25">
      <c r="A423" s="8" t="s">
        <v>58</v>
      </c>
      <c r="B423" s="2" t="s">
        <v>3340</v>
      </c>
      <c r="C423" s="2" t="s">
        <v>3341</v>
      </c>
      <c r="D423" s="2" t="s">
        <v>3342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L423" s="2" t="s">
        <v>3343</v>
      </c>
      <c r="M423" s="3" t="s">
        <v>892</v>
      </c>
      <c r="O423" s="3" t="s">
        <v>64</v>
      </c>
      <c r="P423" s="3" t="s">
        <v>112</v>
      </c>
      <c r="R423" s="3" t="s">
        <v>1346</v>
      </c>
      <c r="S423" s="4">
        <v>2</v>
      </c>
      <c r="T423" s="4">
        <v>2</v>
      </c>
      <c r="U423" s="5" t="s">
        <v>2573</v>
      </c>
      <c r="V423" s="5" t="s">
        <v>2573</v>
      </c>
      <c r="W423" s="5" t="s">
        <v>3328</v>
      </c>
      <c r="X423" s="5" t="s">
        <v>3328</v>
      </c>
      <c r="Y423" s="4">
        <v>232</v>
      </c>
      <c r="Z423" s="4">
        <v>211</v>
      </c>
      <c r="AA423" s="4">
        <v>246</v>
      </c>
      <c r="AB423" s="4">
        <v>1</v>
      </c>
      <c r="AC423" s="4">
        <v>1</v>
      </c>
      <c r="AD423" s="4">
        <v>5</v>
      </c>
      <c r="AE423" s="4">
        <v>7</v>
      </c>
      <c r="AF423" s="4">
        <v>1</v>
      </c>
      <c r="AG423" s="4">
        <v>2</v>
      </c>
      <c r="AH423" s="4">
        <v>2</v>
      </c>
      <c r="AI423" s="4">
        <v>2</v>
      </c>
      <c r="AJ423" s="4">
        <v>2</v>
      </c>
      <c r="AK423" s="4">
        <v>4</v>
      </c>
      <c r="AL423" s="4">
        <v>0</v>
      </c>
      <c r="AM423" s="4">
        <v>0</v>
      </c>
      <c r="AN423" s="4">
        <v>0</v>
      </c>
      <c r="AO423" s="4">
        <v>0</v>
      </c>
      <c r="AP423" s="3" t="s">
        <v>58</v>
      </c>
      <c r="AQ423" s="3" t="s">
        <v>115</v>
      </c>
      <c r="AR423" s="6" t="str">
        <f>HYPERLINK("http://catalog.hathitrust.org/Record/003966208","HathiTrust Record")</f>
        <v>HathiTrust Record</v>
      </c>
      <c r="AS423" s="6" t="str">
        <f>HYPERLINK("https://creighton-primo.hosted.exlibrisgroup.com/primo-explore/search?tab=default_tab&amp;search_scope=EVERYTHING&amp;vid=01CRU&amp;lang=en_US&amp;offset=0&amp;query=any,contains,991000302859702656","Catalog Record")</f>
        <v>Catalog Record</v>
      </c>
      <c r="AT423" s="6" t="str">
        <f>HYPERLINK("http://www.worldcat.org/oclc/38550070","WorldCat Record")</f>
        <v>WorldCat Record</v>
      </c>
    </row>
    <row r="424" spans="1:46" ht="40.5" customHeight="1" x14ac:dyDescent="0.25">
      <c r="A424" s="8" t="s">
        <v>58</v>
      </c>
      <c r="B424" s="2" t="s">
        <v>3344</v>
      </c>
      <c r="C424" s="2" t="s">
        <v>3345</v>
      </c>
      <c r="D424" s="2" t="s">
        <v>3346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3347</v>
      </c>
      <c r="L424" s="2" t="s">
        <v>3348</v>
      </c>
      <c r="M424" s="3" t="s">
        <v>821</v>
      </c>
      <c r="O424" s="3" t="s">
        <v>64</v>
      </c>
      <c r="P424" s="3" t="s">
        <v>65</v>
      </c>
      <c r="R424" s="3" t="s">
        <v>1346</v>
      </c>
      <c r="S424" s="4">
        <v>3</v>
      </c>
      <c r="T424" s="4">
        <v>3</v>
      </c>
      <c r="U424" s="5" t="s">
        <v>3349</v>
      </c>
      <c r="V424" s="5" t="s">
        <v>3349</v>
      </c>
      <c r="W424" s="5" t="s">
        <v>3156</v>
      </c>
      <c r="X424" s="5" t="s">
        <v>3156</v>
      </c>
      <c r="Y424" s="4">
        <v>268</v>
      </c>
      <c r="Z424" s="4">
        <v>208</v>
      </c>
      <c r="AA424" s="4">
        <v>212</v>
      </c>
      <c r="AB424" s="4">
        <v>2</v>
      </c>
      <c r="AC424" s="4">
        <v>2</v>
      </c>
      <c r="AD424" s="4">
        <v>9</v>
      </c>
      <c r="AE424" s="4">
        <v>9</v>
      </c>
      <c r="AF424" s="4">
        <v>5</v>
      </c>
      <c r="AG424" s="4">
        <v>5</v>
      </c>
      <c r="AH424" s="4">
        <v>1</v>
      </c>
      <c r="AI424" s="4">
        <v>1</v>
      </c>
      <c r="AJ424" s="4">
        <v>5</v>
      </c>
      <c r="AK424" s="4">
        <v>5</v>
      </c>
      <c r="AL424" s="4">
        <v>1</v>
      </c>
      <c r="AM424" s="4">
        <v>1</v>
      </c>
      <c r="AN424" s="4">
        <v>0</v>
      </c>
      <c r="AO424" s="4">
        <v>0</v>
      </c>
      <c r="AP424" s="3" t="s">
        <v>58</v>
      </c>
      <c r="AQ424" s="3" t="s">
        <v>115</v>
      </c>
      <c r="AR424" s="6" t="str">
        <f>HYPERLINK("http://catalog.hathitrust.org/Record/001573224","HathiTrust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HYPERLINK("https://creighton-primo.hosted.exlibrisgroup.com/primo-explore/search?tab=default_tab&amp;search_scope=EVERYTHING&amp;vid=01CRU&amp;lang=en_US&amp;offset=0&amp;query=any,contains,991000959069702656","Catalog Record")</f>
        <v>Catalog Record</v>
      </c>
      <c r="AT424" s="6" t="str">
        <f>HYPERLINK("http://www.worldcat.org/oclc/1224211","WorldCat Record")</f>
        <v>WorldCat Record</v>
      </c>
    </row>
    <row r="425" spans="1:46" ht="40.5" customHeight="1" x14ac:dyDescent="0.25">
      <c r="A425" s="8" t="s">
        <v>58</v>
      </c>
      <c r="B425" s="2" t="s">
        <v>3350</v>
      </c>
      <c r="C425" s="2" t="s">
        <v>3351</v>
      </c>
      <c r="D425" s="2" t="s">
        <v>3352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L425" s="2" t="s">
        <v>3353</v>
      </c>
      <c r="M425" s="3" t="s">
        <v>3354</v>
      </c>
      <c r="O425" s="3" t="s">
        <v>64</v>
      </c>
      <c r="P425" s="3" t="s">
        <v>1149</v>
      </c>
      <c r="R425" s="3" t="s">
        <v>1346</v>
      </c>
      <c r="S425" s="4">
        <v>10</v>
      </c>
      <c r="T425" s="4">
        <v>10</v>
      </c>
      <c r="U425" s="5" t="s">
        <v>3162</v>
      </c>
      <c r="V425" s="5" t="s">
        <v>3162</v>
      </c>
      <c r="W425" s="5" t="s">
        <v>3156</v>
      </c>
      <c r="X425" s="5" t="s">
        <v>3156</v>
      </c>
      <c r="Y425" s="4">
        <v>197</v>
      </c>
      <c r="Z425" s="4">
        <v>171</v>
      </c>
      <c r="AA425" s="4">
        <v>178</v>
      </c>
      <c r="AB425" s="4">
        <v>1</v>
      </c>
      <c r="AC425" s="4">
        <v>1</v>
      </c>
      <c r="AD425" s="4">
        <v>6</v>
      </c>
      <c r="AE425" s="4">
        <v>6</v>
      </c>
      <c r="AF425" s="4">
        <v>3</v>
      </c>
      <c r="AG425" s="4">
        <v>3</v>
      </c>
      <c r="AH425" s="4">
        <v>2</v>
      </c>
      <c r="AI425" s="4">
        <v>2</v>
      </c>
      <c r="AJ425" s="4">
        <v>2</v>
      </c>
      <c r="AK425" s="4">
        <v>2</v>
      </c>
      <c r="AL425" s="4">
        <v>0</v>
      </c>
      <c r="AM425" s="4">
        <v>0</v>
      </c>
      <c r="AN425" s="4">
        <v>1</v>
      </c>
      <c r="AO425" s="4">
        <v>1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HYPERLINK("https://creighton-primo.hosted.exlibrisgroup.com/primo-explore/search?tab=default_tab&amp;search_scope=EVERYTHING&amp;vid=01CRU&amp;lang=en_US&amp;offset=0&amp;query=any,contains,991000958999702656","Catalog Record")</f>
        <v>Catalog Record</v>
      </c>
      <c r="AT425" s="6" t="str">
        <f>HYPERLINK("http://www.worldcat.org/oclc/96437","WorldCat Record")</f>
        <v>WorldCat Record</v>
      </c>
    </row>
    <row r="426" spans="1:46" ht="40.5" customHeight="1" x14ac:dyDescent="0.25">
      <c r="A426" s="8" t="s">
        <v>58</v>
      </c>
      <c r="B426" s="2" t="s">
        <v>3355</v>
      </c>
      <c r="C426" s="2" t="s">
        <v>3356</v>
      </c>
      <c r="D426" s="2" t="s">
        <v>3357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K426" s="2" t="s">
        <v>3358</v>
      </c>
      <c r="L426" s="2" t="s">
        <v>3359</v>
      </c>
      <c r="M426" s="3" t="s">
        <v>628</v>
      </c>
      <c r="O426" s="3" t="s">
        <v>64</v>
      </c>
      <c r="P426" s="3" t="s">
        <v>65</v>
      </c>
      <c r="R426" s="3" t="s">
        <v>1346</v>
      </c>
      <c r="S426" s="4">
        <v>10</v>
      </c>
      <c r="T426" s="4">
        <v>10</v>
      </c>
      <c r="U426" s="5" t="s">
        <v>3286</v>
      </c>
      <c r="V426" s="5" t="s">
        <v>3286</v>
      </c>
      <c r="W426" s="5" t="s">
        <v>3156</v>
      </c>
      <c r="X426" s="5" t="s">
        <v>3156</v>
      </c>
      <c r="Y426" s="4">
        <v>386</v>
      </c>
      <c r="Z426" s="4">
        <v>278</v>
      </c>
      <c r="AA426" s="4">
        <v>328</v>
      </c>
      <c r="AB426" s="4">
        <v>3</v>
      </c>
      <c r="AC426" s="4">
        <v>3</v>
      </c>
      <c r="AD426" s="4">
        <v>14</v>
      </c>
      <c r="AE426" s="4">
        <v>16</v>
      </c>
      <c r="AF426" s="4">
        <v>3</v>
      </c>
      <c r="AG426" s="4">
        <v>4</v>
      </c>
      <c r="AH426" s="4">
        <v>4</v>
      </c>
      <c r="AI426" s="4">
        <v>5</v>
      </c>
      <c r="AJ426" s="4">
        <v>9</v>
      </c>
      <c r="AK426" s="4">
        <v>9</v>
      </c>
      <c r="AL426" s="4">
        <v>2</v>
      </c>
      <c r="AM426" s="4">
        <v>2</v>
      </c>
      <c r="AN426" s="4">
        <v>1</v>
      </c>
      <c r="AO426" s="4">
        <v>1</v>
      </c>
      <c r="AP426" s="3" t="s">
        <v>58</v>
      </c>
      <c r="AQ426" s="3" t="s">
        <v>115</v>
      </c>
      <c r="AR426" s="6" t="str">
        <f>HYPERLINK("http://catalog.hathitrust.org/Record/000661514","HathiTrust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HYPERLINK("https://creighton-primo.hosted.exlibrisgroup.com/primo-explore/search?tab=default_tab&amp;search_scope=EVERYTHING&amp;vid=01CRU&amp;lang=en_US&amp;offset=0&amp;query=any,contains,991000958969702656","Catalog Record")</f>
        <v>Catalog Record</v>
      </c>
      <c r="AT426" s="6" t="str">
        <f>HYPERLINK("http://www.worldcat.org/oclc/1009340","WorldCat Record")</f>
        <v>WorldCat Record</v>
      </c>
    </row>
    <row r="427" spans="1:46" ht="40.5" customHeight="1" x14ac:dyDescent="0.25">
      <c r="A427" s="8" t="s">
        <v>58</v>
      </c>
      <c r="B427" s="2" t="s">
        <v>3360</v>
      </c>
      <c r="C427" s="2" t="s">
        <v>3361</v>
      </c>
      <c r="D427" s="2" t="s">
        <v>3362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L427" s="2" t="s">
        <v>3363</v>
      </c>
      <c r="M427" s="3" t="s">
        <v>3354</v>
      </c>
      <c r="O427" s="3" t="s">
        <v>64</v>
      </c>
      <c r="P427" s="3" t="s">
        <v>65</v>
      </c>
      <c r="Q427" s="2" t="s">
        <v>3364</v>
      </c>
      <c r="R427" s="3" t="s">
        <v>1346</v>
      </c>
      <c r="S427" s="4">
        <v>8</v>
      </c>
      <c r="T427" s="4">
        <v>8</v>
      </c>
      <c r="U427" s="5" t="s">
        <v>3286</v>
      </c>
      <c r="V427" s="5" t="s">
        <v>3286</v>
      </c>
      <c r="W427" s="5" t="s">
        <v>2114</v>
      </c>
      <c r="X427" s="5" t="s">
        <v>2114</v>
      </c>
      <c r="Y427" s="4">
        <v>244</v>
      </c>
      <c r="Z427" s="4">
        <v>193</v>
      </c>
      <c r="AA427" s="4">
        <v>194</v>
      </c>
      <c r="AB427" s="4">
        <v>2</v>
      </c>
      <c r="AC427" s="4">
        <v>2</v>
      </c>
      <c r="AD427" s="4">
        <v>7</v>
      </c>
      <c r="AE427" s="4">
        <v>7</v>
      </c>
      <c r="AF427" s="4">
        <v>2</v>
      </c>
      <c r="AG427" s="4">
        <v>2</v>
      </c>
      <c r="AH427" s="4">
        <v>2</v>
      </c>
      <c r="AI427" s="4">
        <v>2</v>
      </c>
      <c r="AJ427" s="4">
        <v>3</v>
      </c>
      <c r="AK427" s="4">
        <v>3</v>
      </c>
      <c r="AL427" s="4">
        <v>1</v>
      </c>
      <c r="AM427" s="4">
        <v>1</v>
      </c>
      <c r="AN427" s="4">
        <v>0</v>
      </c>
      <c r="AO427" s="4">
        <v>0</v>
      </c>
      <c r="AP427" s="3" t="s">
        <v>58</v>
      </c>
      <c r="AQ427" s="3" t="s">
        <v>115</v>
      </c>
      <c r="AR427" s="6" t="str">
        <f>HYPERLINK("http://catalog.hathitrust.org/Record/001688629","HathiTrust Record")</f>
        <v>HathiTrust Record</v>
      </c>
      <c r="AS427" s="6" t="str">
        <f>HYPERLINK("https://creighton-primo.hosted.exlibrisgroup.com/primo-explore/search?tab=default_tab&amp;search_scope=EVERYTHING&amp;vid=01CRU&amp;lang=en_US&amp;offset=0&amp;query=any,contains,991000958899702656","Catalog Record")</f>
        <v>Catalog Record</v>
      </c>
      <c r="AT427" s="6" t="str">
        <f>HYPERLINK("http://www.worldcat.org/oclc/58755","WorldCat Record")</f>
        <v>WorldCat Record</v>
      </c>
    </row>
    <row r="428" spans="1:46" ht="40.5" customHeight="1" x14ac:dyDescent="0.25">
      <c r="A428" s="8" t="s">
        <v>58</v>
      </c>
      <c r="B428" s="2" t="s">
        <v>3365</v>
      </c>
      <c r="C428" s="2" t="s">
        <v>3366</v>
      </c>
      <c r="D428" s="2" t="s">
        <v>3367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K428" s="2" t="s">
        <v>3368</v>
      </c>
      <c r="L428" s="2" t="s">
        <v>3369</v>
      </c>
      <c r="M428" s="3" t="s">
        <v>1702</v>
      </c>
      <c r="O428" s="3" t="s">
        <v>64</v>
      </c>
      <c r="P428" s="3" t="s">
        <v>65</v>
      </c>
      <c r="Q428" s="2" t="s">
        <v>3370</v>
      </c>
      <c r="R428" s="3" t="s">
        <v>1346</v>
      </c>
      <c r="S428" s="4">
        <v>6</v>
      </c>
      <c r="T428" s="4">
        <v>6</v>
      </c>
      <c r="U428" s="5" t="s">
        <v>98</v>
      </c>
      <c r="V428" s="5" t="s">
        <v>98</v>
      </c>
      <c r="W428" s="5" t="s">
        <v>3371</v>
      </c>
      <c r="X428" s="5" t="s">
        <v>3371</v>
      </c>
      <c r="Y428" s="4">
        <v>173</v>
      </c>
      <c r="Z428" s="4">
        <v>114</v>
      </c>
      <c r="AA428" s="4">
        <v>121</v>
      </c>
      <c r="AB428" s="4">
        <v>2</v>
      </c>
      <c r="AC428" s="4">
        <v>2</v>
      </c>
      <c r="AD428" s="4">
        <v>5</v>
      </c>
      <c r="AE428" s="4">
        <v>5</v>
      </c>
      <c r="AF428" s="4">
        <v>1</v>
      </c>
      <c r="AG428" s="4">
        <v>1</v>
      </c>
      <c r="AH428" s="4">
        <v>3</v>
      </c>
      <c r="AI428" s="4">
        <v>3</v>
      </c>
      <c r="AJ428" s="4">
        <v>2</v>
      </c>
      <c r="AK428" s="4">
        <v>2</v>
      </c>
      <c r="AL428" s="4">
        <v>1</v>
      </c>
      <c r="AM428" s="4">
        <v>1</v>
      </c>
      <c r="AN428" s="4">
        <v>0</v>
      </c>
      <c r="AO428" s="4">
        <v>0</v>
      </c>
      <c r="AP428" s="3" t="s">
        <v>58</v>
      </c>
      <c r="AQ428" s="3" t="s">
        <v>115</v>
      </c>
      <c r="AR428" s="6" t="str">
        <f>HYPERLINK("http://catalog.hathitrust.org/Record/000687993","HathiTrust Record")</f>
        <v>HathiTrust Record</v>
      </c>
      <c r="AS428" s="6" t="str">
        <f>HYPERLINK("https://creighton-primo.hosted.exlibrisgroup.com/primo-explore/search?tab=default_tab&amp;search_scope=EVERYTHING&amp;vid=01CRU&amp;lang=en_US&amp;offset=0&amp;query=any,contains,991000958839702656","Catalog Record")</f>
        <v>Catalog Record</v>
      </c>
      <c r="AT428" s="6" t="str">
        <f>HYPERLINK("http://www.worldcat.org/oclc/1849163","WorldCat Record")</f>
        <v>WorldCat Record</v>
      </c>
    </row>
    <row r="429" spans="1:46" ht="40.5" customHeight="1" x14ac:dyDescent="0.25">
      <c r="A429" s="8" t="s">
        <v>58</v>
      </c>
      <c r="B429" s="2" t="s">
        <v>3372</v>
      </c>
      <c r="C429" s="2" t="s">
        <v>3373</v>
      </c>
      <c r="D429" s="2" t="s">
        <v>3374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L429" s="2" t="s">
        <v>3375</v>
      </c>
      <c r="M429" s="3" t="s">
        <v>1177</v>
      </c>
      <c r="O429" s="3" t="s">
        <v>64</v>
      </c>
      <c r="P429" s="3" t="s">
        <v>585</v>
      </c>
      <c r="Q429" s="2" t="s">
        <v>3376</v>
      </c>
      <c r="R429" s="3" t="s">
        <v>1346</v>
      </c>
      <c r="S429" s="4">
        <v>9</v>
      </c>
      <c r="T429" s="4">
        <v>9</v>
      </c>
      <c r="U429" s="5" t="s">
        <v>98</v>
      </c>
      <c r="V429" s="5" t="s">
        <v>98</v>
      </c>
      <c r="W429" s="5" t="s">
        <v>3377</v>
      </c>
      <c r="X429" s="5" t="s">
        <v>3377</v>
      </c>
      <c r="Y429" s="4">
        <v>172</v>
      </c>
      <c r="Z429" s="4">
        <v>104</v>
      </c>
      <c r="AA429" s="4">
        <v>115</v>
      </c>
      <c r="AB429" s="4">
        <v>1</v>
      </c>
      <c r="AC429" s="4">
        <v>1</v>
      </c>
      <c r="AD429" s="4">
        <v>2</v>
      </c>
      <c r="AE429" s="4">
        <v>2</v>
      </c>
      <c r="AF429" s="4">
        <v>0</v>
      </c>
      <c r="AG429" s="4">
        <v>0</v>
      </c>
      <c r="AH429" s="4">
        <v>2</v>
      </c>
      <c r="AI429" s="4">
        <v>2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3" t="s">
        <v>58</v>
      </c>
      <c r="AQ429" s="3" t="s">
        <v>115</v>
      </c>
      <c r="AR429" s="6" t="str">
        <f>HYPERLINK("http://catalog.hathitrust.org/Record/000593642","HathiTrust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HYPERLINK("https://creighton-primo.hosted.exlibrisgroup.com/primo-explore/search?tab=default_tab&amp;search_scope=EVERYTHING&amp;vid=01CRU&amp;lang=en_US&amp;offset=0&amp;query=any,contains,991001245409702656","Catalog Record")</f>
        <v>Catalog Record</v>
      </c>
      <c r="AT429" s="6" t="str">
        <f>HYPERLINK("http://www.worldcat.org/oclc/14069133","WorldCat Record")</f>
        <v>WorldCat Record</v>
      </c>
    </row>
    <row r="430" spans="1:46" ht="40.5" customHeight="1" x14ac:dyDescent="0.25">
      <c r="A430" s="8" t="s">
        <v>58</v>
      </c>
      <c r="B430" s="2" t="s">
        <v>3378</v>
      </c>
      <c r="C430" s="2" t="s">
        <v>3379</v>
      </c>
      <c r="D430" s="2" t="s">
        <v>3380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K430" s="2" t="s">
        <v>3381</v>
      </c>
      <c r="L430" s="2" t="s">
        <v>3382</v>
      </c>
      <c r="M430" s="3" t="s">
        <v>1177</v>
      </c>
      <c r="O430" s="3" t="s">
        <v>64</v>
      </c>
      <c r="P430" s="3" t="s">
        <v>1355</v>
      </c>
      <c r="R430" s="3" t="s">
        <v>1346</v>
      </c>
      <c r="S430" s="4">
        <v>11</v>
      </c>
      <c r="T430" s="4">
        <v>11</v>
      </c>
      <c r="U430" s="5" t="s">
        <v>3383</v>
      </c>
      <c r="V430" s="5" t="s">
        <v>3383</v>
      </c>
      <c r="W430" s="5" t="s">
        <v>2918</v>
      </c>
      <c r="X430" s="5" t="s">
        <v>2918</v>
      </c>
      <c r="Y430" s="4">
        <v>454</v>
      </c>
      <c r="Z430" s="4">
        <v>399</v>
      </c>
      <c r="AA430" s="4">
        <v>406</v>
      </c>
      <c r="AB430" s="4">
        <v>4</v>
      </c>
      <c r="AC430" s="4">
        <v>4</v>
      </c>
      <c r="AD430" s="4">
        <v>21</v>
      </c>
      <c r="AE430" s="4">
        <v>21</v>
      </c>
      <c r="AF430" s="4">
        <v>8</v>
      </c>
      <c r="AG430" s="4">
        <v>8</v>
      </c>
      <c r="AH430" s="4">
        <v>5</v>
      </c>
      <c r="AI430" s="4">
        <v>5</v>
      </c>
      <c r="AJ430" s="4">
        <v>10</v>
      </c>
      <c r="AK430" s="4">
        <v>10</v>
      </c>
      <c r="AL430" s="4">
        <v>3</v>
      </c>
      <c r="AM430" s="4">
        <v>3</v>
      </c>
      <c r="AN430" s="4">
        <v>0</v>
      </c>
      <c r="AO430" s="4">
        <v>0</v>
      </c>
      <c r="AP430" s="3" t="s">
        <v>58</v>
      </c>
      <c r="AQ430" s="3" t="s">
        <v>115</v>
      </c>
      <c r="AR430" s="6" t="str">
        <f>HYPERLINK("http://catalog.hathitrust.org/Record/000816321","HathiTrust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HYPERLINK("https://creighton-primo.hosted.exlibrisgroup.com/primo-explore/search?tab=default_tab&amp;search_scope=EVERYTHING&amp;vid=01CRU&amp;lang=en_US&amp;offset=0&amp;query=any,contains,991000762939702656","Catalog Record")</f>
        <v>Catalog Record</v>
      </c>
      <c r="AT430" s="6" t="str">
        <f>HYPERLINK("http://www.worldcat.org/oclc/13125682","WorldCat Record")</f>
        <v>WorldCat Record</v>
      </c>
    </row>
    <row r="431" spans="1:46" ht="40.5" customHeight="1" x14ac:dyDescent="0.25">
      <c r="A431" s="8" t="s">
        <v>58</v>
      </c>
      <c r="B431" s="2" t="s">
        <v>3384</v>
      </c>
      <c r="C431" s="2" t="s">
        <v>3385</v>
      </c>
      <c r="D431" s="2" t="s">
        <v>3386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L431" s="2" t="s">
        <v>1049</v>
      </c>
      <c r="M431" s="3" t="s">
        <v>189</v>
      </c>
      <c r="O431" s="3" t="s">
        <v>64</v>
      </c>
      <c r="P431" s="3" t="s">
        <v>613</v>
      </c>
      <c r="R431" s="3" t="s">
        <v>1346</v>
      </c>
      <c r="S431" s="4">
        <v>13</v>
      </c>
      <c r="T431" s="4">
        <v>13</v>
      </c>
      <c r="U431" s="5" t="s">
        <v>3286</v>
      </c>
      <c r="V431" s="5" t="s">
        <v>3286</v>
      </c>
      <c r="W431" s="5" t="s">
        <v>3387</v>
      </c>
      <c r="X431" s="5" t="s">
        <v>3387</v>
      </c>
      <c r="Y431" s="4">
        <v>179</v>
      </c>
      <c r="Z431" s="4">
        <v>147</v>
      </c>
      <c r="AA431" s="4">
        <v>151</v>
      </c>
      <c r="AB431" s="4">
        <v>2</v>
      </c>
      <c r="AC431" s="4">
        <v>2</v>
      </c>
      <c r="AD431" s="4">
        <v>9</v>
      </c>
      <c r="AE431" s="4">
        <v>9</v>
      </c>
      <c r="AF431" s="4">
        <v>4</v>
      </c>
      <c r="AG431" s="4">
        <v>4</v>
      </c>
      <c r="AH431" s="4">
        <v>1</v>
      </c>
      <c r="AI431" s="4">
        <v>1</v>
      </c>
      <c r="AJ431" s="4">
        <v>5</v>
      </c>
      <c r="AK431" s="4">
        <v>5</v>
      </c>
      <c r="AL431" s="4">
        <v>1</v>
      </c>
      <c r="AM431" s="4">
        <v>1</v>
      </c>
      <c r="AN431" s="4">
        <v>0</v>
      </c>
      <c r="AO431" s="4">
        <v>0</v>
      </c>
      <c r="AP431" s="3" t="s">
        <v>58</v>
      </c>
      <c r="AQ431" s="3" t="s">
        <v>58</v>
      </c>
      <c r="AS431" s="6" t="str">
        <f>HYPERLINK("https://creighton-primo.hosted.exlibrisgroup.com/primo-explore/search?tab=default_tab&amp;search_scope=EVERYTHING&amp;vid=01CRU&amp;lang=en_US&amp;offset=0&amp;query=any,contains,991001298189702656","Catalog Record")</f>
        <v>Catalog Record</v>
      </c>
      <c r="AT431" s="6" t="str">
        <f>HYPERLINK("http://www.worldcat.org/oclc/23649583","WorldCat Record")</f>
        <v>WorldCat Record</v>
      </c>
    </row>
    <row r="432" spans="1:46" ht="40.5" customHeight="1" x14ac:dyDescent="0.25">
      <c r="A432" s="8" t="s">
        <v>58</v>
      </c>
      <c r="B432" s="2" t="s">
        <v>3388</v>
      </c>
      <c r="C432" s="2" t="s">
        <v>3389</v>
      </c>
      <c r="D432" s="2" t="s">
        <v>3390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L432" s="2" t="s">
        <v>612</v>
      </c>
      <c r="M432" s="3" t="s">
        <v>173</v>
      </c>
      <c r="O432" s="3" t="s">
        <v>64</v>
      </c>
      <c r="P432" s="3" t="s">
        <v>613</v>
      </c>
      <c r="R432" s="3" t="s">
        <v>1346</v>
      </c>
      <c r="S432" s="4">
        <v>16</v>
      </c>
      <c r="T432" s="4">
        <v>16</v>
      </c>
      <c r="U432" s="5" t="s">
        <v>3391</v>
      </c>
      <c r="V432" s="5" t="s">
        <v>3391</v>
      </c>
      <c r="W432" s="5" t="s">
        <v>3392</v>
      </c>
      <c r="X432" s="5" t="s">
        <v>3392</v>
      </c>
      <c r="Y432" s="4">
        <v>109</v>
      </c>
      <c r="Z432" s="4">
        <v>82</v>
      </c>
      <c r="AA432" s="4">
        <v>83</v>
      </c>
      <c r="AB432" s="4">
        <v>1</v>
      </c>
      <c r="AC432" s="4">
        <v>1</v>
      </c>
      <c r="AD432" s="4">
        <v>1</v>
      </c>
      <c r="AE432" s="4">
        <v>1</v>
      </c>
      <c r="AF432" s="4">
        <v>0</v>
      </c>
      <c r="AG432" s="4">
        <v>0</v>
      </c>
      <c r="AH432" s="4">
        <v>0</v>
      </c>
      <c r="AI432" s="4">
        <v>0</v>
      </c>
      <c r="AJ432" s="4">
        <v>1</v>
      </c>
      <c r="AK432" s="4">
        <v>1</v>
      </c>
      <c r="AL432" s="4">
        <v>0</v>
      </c>
      <c r="AM432" s="4">
        <v>0</v>
      </c>
      <c r="AN432" s="4">
        <v>0</v>
      </c>
      <c r="AO432" s="4">
        <v>0</v>
      </c>
      <c r="AP432" s="3" t="s">
        <v>58</v>
      </c>
      <c r="AQ432" s="3" t="s">
        <v>58</v>
      </c>
      <c r="AS432" s="6" t="str">
        <f>HYPERLINK("https://creighton-primo.hosted.exlibrisgroup.com/primo-explore/search?tab=default_tab&amp;search_scope=EVERYTHING&amp;vid=01CRU&amp;lang=en_US&amp;offset=0&amp;query=any,contains,991001403339702656","Catalog Record")</f>
        <v>Catalog Record</v>
      </c>
      <c r="AT432" s="6" t="str">
        <f>HYPERLINK("http://www.worldcat.org/oclc/31866823","WorldCat Record")</f>
        <v>WorldCat Record</v>
      </c>
    </row>
    <row r="433" spans="1:46" ht="40.5" customHeight="1" x14ac:dyDescent="0.25">
      <c r="A433" s="8" t="s">
        <v>58</v>
      </c>
      <c r="B433" s="2" t="s">
        <v>3393</v>
      </c>
      <c r="C433" s="2" t="s">
        <v>3394</v>
      </c>
      <c r="D433" s="2" t="s">
        <v>3395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3396</v>
      </c>
      <c r="L433" s="2" t="s">
        <v>3397</v>
      </c>
      <c r="M433" s="3" t="s">
        <v>142</v>
      </c>
      <c r="O433" s="3" t="s">
        <v>64</v>
      </c>
      <c r="P433" s="3" t="s">
        <v>112</v>
      </c>
      <c r="Q433" s="2" t="s">
        <v>3398</v>
      </c>
      <c r="R433" s="3" t="s">
        <v>1346</v>
      </c>
      <c r="S433" s="4">
        <v>27</v>
      </c>
      <c r="T433" s="4">
        <v>27</v>
      </c>
      <c r="U433" s="5" t="s">
        <v>3399</v>
      </c>
      <c r="V433" s="5" t="s">
        <v>3399</v>
      </c>
      <c r="W433" s="5" t="s">
        <v>1727</v>
      </c>
      <c r="X433" s="5" t="s">
        <v>1727</v>
      </c>
      <c r="Y433" s="4">
        <v>124</v>
      </c>
      <c r="Z433" s="4">
        <v>80</v>
      </c>
      <c r="AA433" s="4">
        <v>86</v>
      </c>
      <c r="AB433" s="4">
        <v>1</v>
      </c>
      <c r="AC433" s="4">
        <v>1</v>
      </c>
      <c r="AD433" s="4">
        <v>5</v>
      </c>
      <c r="AE433" s="4">
        <v>5</v>
      </c>
      <c r="AF433" s="4">
        <v>1</v>
      </c>
      <c r="AG433" s="4">
        <v>1</v>
      </c>
      <c r="AH433" s="4">
        <v>1</v>
      </c>
      <c r="AI433" s="4">
        <v>1</v>
      </c>
      <c r="AJ433" s="4">
        <v>4</v>
      </c>
      <c r="AK433" s="4">
        <v>4</v>
      </c>
      <c r="AL433" s="4">
        <v>0</v>
      </c>
      <c r="AM433" s="4">
        <v>0</v>
      </c>
      <c r="AN433" s="4">
        <v>0</v>
      </c>
      <c r="AO433" s="4">
        <v>0</v>
      </c>
      <c r="AP433" s="3" t="s">
        <v>58</v>
      </c>
      <c r="AQ433" s="3" t="s">
        <v>115</v>
      </c>
      <c r="AR433" s="6" t="str">
        <f>HYPERLINK("http://catalog.hathitrust.org/Record/002505310","HathiTrust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HYPERLINK("https://creighton-primo.hosted.exlibrisgroup.com/primo-explore/search?tab=default_tab&amp;search_scope=EVERYTHING&amp;vid=01CRU&amp;lang=en_US&amp;offset=0&amp;query=any,contains,991001017129702656","Catalog Record")</f>
        <v>Catalog Record</v>
      </c>
      <c r="AT433" s="6" t="str">
        <f>HYPERLINK("http://www.worldcat.org/oclc/22705819","WorldCat Record")</f>
        <v>WorldCat Record</v>
      </c>
    </row>
    <row r="434" spans="1:46" ht="40.5" customHeight="1" x14ac:dyDescent="0.25">
      <c r="A434" s="8" t="s">
        <v>58</v>
      </c>
      <c r="B434" s="2" t="s">
        <v>3400</v>
      </c>
      <c r="C434" s="2" t="s">
        <v>3401</v>
      </c>
      <c r="D434" s="2" t="s">
        <v>3402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L434" s="2" t="s">
        <v>3403</v>
      </c>
      <c r="M434" s="3" t="s">
        <v>408</v>
      </c>
      <c r="O434" s="3" t="s">
        <v>64</v>
      </c>
      <c r="P434" s="3" t="s">
        <v>112</v>
      </c>
      <c r="Q434" s="2" t="s">
        <v>2483</v>
      </c>
      <c r="R434" s="3" t="s">
        <v>1346</v>
      </c>
      <c r="S434" s="4">
        <v>17</v>
      </c>
      <c r="T434" s="4">
        <v>17</v>
      </c>
      <c r="U434" s="5" t="s">
        <v>3404</v>
      </c>
      <c r="V434" s="5" t="s">
        <v>3404</v>
      </c>
      <c r="W434" s="5" t="s">
        <v>2918</v>
      </c>
      <c r="X434" s="5" t="s">
        <v>2918</v>
      </c>
      <c r="Y434" s="4">
        <v>222</v>
      </c>
      <c r="Z434" s="4">
        <v>158</v>
      </c>
      <c r="AA434" s="4">
        <v>160</v>
      </c>
      <c r="AB434" s="4">
        <v>1</v>
      </c>
      <c r="AC434" s="4">
        <v>1</v>
      </c>
      <c r="AD434" s="4">
        <v>3</v>
      </c>
      <c r="AE434" s="4">
        <v>3</v>
      </c>
      <c r="AF434" s="4">
        <v>1</v>
      </c>
      <c r="AG434" s="4">
        <v>1</v>
      </c>
      <c r="AH434" s="4">
        <v>1</v>
      </c>
      <c r="AI434" s="4">
        <v>1</v>
      </c>
      <c r="AJ434" s="4">
        <v>2</v>
      </c>
      <c r="AK434" s="4">
        <v>2</v>
      </c>
      <c r="AL434" s="4">
        <v>0</v>
      </c>
      <c r="AM434" s="4">
        <v>0</v>
      </c>
      <c r="AN434" s="4">
        <v>0</v>
      </c>
      <c r="AO434" s="4">
        <v>0</v>
      </c>
      <c r="AP434" s="3" t="s">
        <v>58</v>
      </c>
      <c r="AQ434" s="3" t="s">
        <v>115</v>
      </c>
      <c r="AR434" s="6" t="str">
        <f>HYPERLINK("http://catalog.hathitrust.org/Record/000609743","HathiTrust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HYPERLINK("https://creighton-primo.hosted.exlibrisgroup.com/primo-explore/search?tab=default_tab&amp;search_scope=EVERYTHING&amp;vid=01CRU&amp;lang=en_US&amp;offset=0&amp;query=any,contains,991000959419702656","Catalog Record")</f>
        <v>Catalog Record</v>
      </c>
      <c r="AT434" s="6" t="str">
        <f>HYPERLINK("http://www.worldcat.org/oclc/11469504","WorldCat Record")</f>
        <v>WorldCat Record</v>
      </c>
    </row>
    <row r="435" spans="1:46" ht="40.5" customHeight="1" x14ac:dyDescent="0.25">
      <c r="A435" s="8" t="s">
        <v>58</v>
      </c>
      <c r="B435" s="2" t="s">
        <v>3405</v>
      </c>
      <c r="C435" s="2" t="s">
        <v>3406</v>
      </c>
      <c r="D435" s="2" t="s">
        <v>3407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L435" s="2" t="s">
        <v>3408</v>
      </c>
      <c r="M435" s="3" t="s">
        <v>408</v>
      </c>
      <c r="N435" s="2" t="s">
        <v>143</v>
      </c>
      <c r="O435" s="3" t="s">
        <v>64</v>
      </c>
      <c r="P435" s="3" t="s">
        <v>1355</v>
      </c>
      <c r="R435" s="3" t="s">
        <v>1346</v>
      </c>
      <c r="S435" s="4">
        <v>31</v>
      </c>
      <c r="T435" s="4">
        <v>31</v>
      </c>
      <c r="U435" s="5" t="s">
        <v>3409</v>
      </c>
      <c r="V435" s="5" t="s">
        <v>3409</v>
      </c>
      <c r="W435" s="5" t="s">
        <v>2918</v>
      </c>
      <c r="X435" s="5" t="s">
        <v>2918</v>
      </c>
      <c r="Y435" s="4">
        <v>296</v>
      </c>
      <c r="Z435" s="4">
        <v>213</v>
      </c>
      <c r="AA435" s="4">
        <v>291</v>
      </c>
      <c r="AB435" s="4">
        <v>2</v>
      </c>
      <c r="AC435" s="4">
        <v>2</v>
      </c>
      <c r="AD435" s="4">
        <v>7</v>
      </c>
      <c r="AE435" s="4">
        <v>9</v>
      </c>
      <c r="AF435" s="4">
        <v>1</v>
      </c>
      <c r="AG435" s="4">
        <v>2</v>
      </c>
      <c r="AH435" s="4">
        <v>3</v>
      </c>
      <c r="AI435" s="4">
        <v>3</v>
      </c>
      <c r="AJ435" s="4">
        <v>5</v>
      </c>
      <c r="AK435" s="4">
        <v>6</v>
      </c>
      <c r="AL435" s="4">
        <v>1</v>
      </c>
      <c r="AM435" s="4">
        <v>1</v>
      </c>
      <c r="AN435" s="4">
        <v>0</v>
      </c>
      <c r="AO435" s="4">
        <v>0</v>
      </c>
      <c r="AP435" s="3" t="s">
        <v>58</v>
      </c>
      <c r="AQ435" s="3" t="s">
        <v>115</v>
      </c>
      <c r="AR435" s="6" t="str">
        <f>HYPERLINK("http://catalog.hathitrust.org/Record/006257554","HathiTrust Record")</f>
        <v>HathiTrust Record</v>
      </c>
      <c r="AS435" s="6" t="str">
        <f>HYPERLINK("https://creighton-primo.hosted.exlibrisgroup.com/primo-explore/search?tab=default_tab&amp;search_scope=EVERYTHING&amp;vid=01CRU&amp;lang=en_US&amp;offset=0&amp;query=any,contains,991000959449702656","Catalog Record")</f>
        <v>Catalog Record</v>
      </c>
      <c r="AT435" s="6" t="str">
        <f>HYPERLINK("http://www.worldcat.org/oclc/11114252","WorldCat Record")</f>
        <v>WorldCat Record</v>
      </c>
    </row>
    <row r="436" spans="1:46" ht="40.5" customHeight="1" x14ac:dyDescent="0.25">
      <c r="A436" s="8" t="s">
        <v>58</v>
      </c>
      <c r="B436" s="2" t="s">
        <v>3410</v>
      </c>
      <c r="C436" s="2" t="s">
        <v>3411</v>
      </c>
      <c r="D436" s="2" t="s">
        <v>3412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L436" s="2" t="s">
        <v>3413</v>
      </c>
      <c r="M436" s="3" t="s">
        <v>336</v>
      </c>
      <c r="O436" s="3" t="s">
        <v>64</v>
      </c>
      <c r="P436" s="3" t="s">
        <v>1355</v>
      </c>
      <c r="R436" s="3" t="s">
        <v>1346</v>
      </c>
      <c r="S436" s="4">
        <v>12</v>
      </c>
      <c r="T436" s="4">
        <v>12</v>
      </c>
      <c r="U436" s="5" t="s">
        <v>3404</v>
      </c>
      <c r="V436" s="5" t="s">
        <v>3404</v>
      </c>
      <c r="W436" s="5" t="s">
        <v>2918</v>
      </c>
      <c r="X436" s="5" t="s">
        <v>2918</v>
      </c>
      <c r="Y436" s="4">
        <v>248</v>
      </c>
      <c r="Z436" s="4">
        <v>196</v>
      </c>
      <c r="AA436" s="4">
        <v>201</v>
      </c>
      <c r="AB436" s="4">
        <v>3</v>
      </c>
      <c r="AC436" s="4">
        <v>3</v>
      </c>
      <c r="AD436" s="4">
        <v>11</v>
      </c>
      <c r="AE436" s="4">
        <v>11</v>
      </c>
      <c r="AF436" s="4">
        <v>3</v>
      </c>
      <c r="AG436" s="4">
        <v>3</v>
      </c>
      <c r="AH436" s="4">
        <v>5</v>
      </c>
      <c r="AI436" s="4">
        <v>5</v>
      </c>
      <c r="AJ436" s="4">
        <v>5</v>
      </c>
      <c r="AK436" s="4">
        <v>5</v>
      </c>
      <c r="AL436" s="4">
        <v>2</v>
      </c>
      <c r="AM436" s="4">
        <v>2</v>
      </c>
      <c r="AN436" s="4">
        <v>0</v>
      </c>
      <c r="AO436" s="4">
        <v>0</v>
      </c>
      <c r="AP436" s="3" t="s">
        <v>58</v>
      </c>
      <c r="AQ436" s="3" t="s">
        <v>58</v>
      </c>
      <c r="AS436" s="6" t="str">
        <f>HYPERLINK("https://creighton-primo.hosted.exlibrisgroup.com/primo-explore/search?tab=default_tab&amp;search_scope=EVERYTHING&amp;vid=01CRU&amp;lang=en_US&amp;offset=0&amp;query=any,contains,991000959499702656","Catalog Record")</f>
        <v>Catalog Record</v>
      </c>
      <c r="AT436" s="6" t="str">
        <f>HYPERLINK("http://www.worldcat.org/oclc/7464470","WorldCat Record")</f>
        <v>WorldCat Record</v>
      </c>
    </row>
    <row r="437" spans="1:46" ht="40.5" customHeight="1" x14ac:dyDescent="0.25">
      <c r="A437" s="8" t="s">
        <v>58</v>
      </c>
      <c r="B437" s="2" t="s">
        <v>3414</v>
      </c>
      <c r="C437" s="2" t="s">
        <v>3415</v>
      </c>
      <c r="D437" s="2" t="s">
        <v>3416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3417</v>
      </c>
      <c r="L437" s="2" t="s">
        <v>3418</v>
      </c>
      <c r="M437" s="3" t="s">
        <v>290</v>
      </c>
      <c r="O437" s="3" t="s">
        <v>64</v>
      </c>
      <c r="P437" s="3" t="s">
        <v>1355</v>
      </c>
      <c r="R437" s="3" t="s">
        <v>1346</v>
      </c>
      <c r="S437" s="4">
        <v>3</v>
      </c>
      <c r="T437" s="4">
        <v>3</v>
      </c>
      <c r="U437" s="5" t="s">
        <v>3419</v>
      </c>
      <c r="V437" s="5" t="s">
        <v>3419</v>
      </c>
      <c r="W437" s="5" t="s">
        <v>3420</v>
      </c>
      <c r="X437" s="5" t="s">
        <v>3420</v>
      </c>
      <c r="Y437" s="4">
        <v>144</v>
      </c>
      <c r="Z437" s="4">
        <v>103</v>
      </c>
      <c r="AA437" s="4">
        <v>105</v>
      </c>
      <c r="AB437" s="4">
        <v>1</v>
      </c>
      <c r="AC437" s="4">
        <v>1</v>
      </c>
      <c r="AD437" s="4">
        <v>4</v>
      </c>
      <c r="AE437" s="4">
        <v>4</v>
      </c>
      <c r="AF437" s="4">
        <v>3</v>
      </c>
      <c r="AG437" s="4">
        <v>3</v>
      </c>
      <c r="AH437" s="4">
        <v>2</v>
      </c>
      <c r="AI437" s="4">
        <v>2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3" t="s">
        <v>58</v>
      </c>
      <c r="AQ437" s="3" t="s">
        <v>115</v>
      </c>
      <c r="AR437" s="6" t="str">
        <f>HYPERLINK("http://catalog.hathitrust.org/Record/000928151","HathiTrust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HYPERLINK("https://creighton-primo.hosted.exlibrisgroup.com/primo-explore/search?tab=default_tab&amp;search_scope=EVERYTHING&amp;vid=01CRU&amp;lang=en_US&amp;offset=0&amp;query=any,contains,991001244069702656","Catalog Record")</f>
        <v>Catalog Record</v>
      </c>
      <c r="AT437" s="6" t="str">
        <f>HYPERLINK("http://www.worldcat.org/oclc/14904719","WorldCat Record")</f>
        <v>WorldCat Record</v>
      </c>
    </row>
    <row r="438" spans="1:46" ht="40.5" customHeight="1" x14ac:dyDescent="0.25">
      <c r="A438" s="8" t="s">
        <v>58</v>
      </c>
      <c r="B438" s="2" t="s">
        <v>3421</v>
      </c>
      <c r="C438" s="2" t="s">
        <v>3422</v>
      </c>
      <c r="D438" s="2" t="s">
        <v>3423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K438" s="2" t="s">
        <v>3424</v>
      </c>
      <c r="L438" s="2" t="s">
        <v>3425</v>
      </c>
      <c r="M438" s="3" t="s">
        <v>515</v>
      </c>
      <c r="O438" s="3" t="s">
        <v>64</v>
      </c>
      <c r="P438" s="3" t="s">
        <v>1355</v>
      </c>
      <c r="R438" s="3" t="s">
        <v>1346</v>
      </c>
      <c r="S438" s="4">
        <v>3</v>
      </c>
      <c r="T438" s="4">
        <v>3</v>
      </c>
      <c r="U438" s="5" t="s">
        <v>3426</v>
      </c>
      <c r="V438" s="5" t="s">
        <v>3426</v>
      </c>
      <c r="W438" s="5" t="s">
        <v>2918</v>
      </c>
      <c r="X438" s="5" t="s">
        <v>2918</v>
      </c>
      <c r="Y438" s="4">
        <v>139</v>
      </c>
      <c r="Z438" s="4">
        <v>113</v>
      </c>
      <c r="AA438" s="4">
        <v>115</v>
      </c>
      <c r="AB438" s="4">
        <v>1</v>
      </c>
      <c r="AC438" s="4">
        <v>1</v>
      </c>
      <c r="AD438" s="4">
        <v>2</v>
      </c>
      <c r="AE438" s="4">
        <v>2</v>
      </c>
      <c r="AF438" s="4">
        <v>0</v>
      </c>
      <c r="AG438" s="4">
        <v>0</v>
      </c>
      <c r="AH438" s="4">
        <v>2</v>
      </c>
      <c r="AI438" s="4">
        <v>2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3" t="s">
        <v>58</v>
      </c>
      <c r="AQ438" s="3" t="s">
        <v>115</v>
      </c>
      <c r="AR438" s="6" t="str">
        <f>HYPERLINK("http://catalog.hathitrust.org/Record/000594160","HathiTrust Record")</f>
        <v>HathiTrust Record</v>
      </c>
      <c r="AS438" s="6" t="str">
        <f>HYPERLINK("https://creighton-primo.hosted.exlibrisgroup.com/primo-explore/search?tab=default_tab&amp;search_scope=EVERYTHING&amp;vid=01CRU&amp;lang=en_US&amp;offset=0&amp;query=any,contains,991000959299702656","Catalog Record")</f>
        <v>Catalog Record</v>
      </c>
      <c r="AT438" s="6" t="str">
        <f>HYPERLINK("http://www.worldcat.org/oclc/13008505","WorldCat Record")</f>
        <v>WorldCat Record</v>
      </c>
    </row>
    <row r="439" spans="1:46" ht="40.5" customHeight="1" x14ac:dyDescent="0.25">
      <c r="A439" s="8" t="s">
        <v>58</v>
      </c>
      <c r="B439" s="2" t="s">
        <v>3427</v>
      </c>
      <c r="C439" s="2" t="s">
        <v>3428</v>
      </c>
      <c r="D439" s="2" t="s">
        <v>3429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K439" s="2" t="s">
        <v>3430</v>
      </c>
      <c r="L439" s="2" t="s">
        <v>3431</v>
      </c>
      <c r="M439" s="3" t="s">
        <v>1414</v>
      </c>
      <c r="N439" s="2" t="s">
        <v>143</v>
      </c>
      <c r="O439" s="3" t="s">
        <v>64</v>
      </c>
      <c r="P439" s="3" t="s">
        <v>1355</v>
      </c>
      <c r="R439" s="3" t="s">
        <v>1346</v>
      </c>
      <c r="S439" s="4">
        <v>10</v>
      </c>
      <c r="T439" s="4">
        <v>10</v>
      </c>
      <c r="U439" s="5" t="s">
        <v>2573</v>
      </c>
      <c r="V439" s="5" t="s">
        <v>2573</v>
      </c>
      <c r="W439" s="5" t="s">
        <v>2918</v>
      </c>
      <c r="X439" s="5" t="s">
        <v>2918</v>
      </c>
      <c r="Y439" s="4">
        <v>126</v>
      </c>
      <c r="Z439" s="4">
        <v>103</v>
      </c>
      <c r="AA439" s="4">
        <v>105</v>
      </c>
      <c r="AB439" s="4">
        <v>1</v>
      </c>
      <c r="AC439" s="4">
        <v>1</v>
      </c>
      <c r="AD439" s="4">
        <v>1</v>
      </c>
      <c r="AE439" s="4">
        <v>1</v>
      </c>
      <c r="AF439" s="4">
        <v>0</v>
      </c>
      <c r="AG439" s="4">
        <v>0</v>
      </c>
      <c r="AH439" s="4">
        <v>0</v>
      </c>
      <c r="AI439" s="4">
        <v>0</v>
      </c>
      <c r="AJ439" s="4">
        <v>1</v>
      </c>
      <c r="AK439" s="4">
        <v>1</v>
      </c>
      <c r="AL439" s="4">
        <v>0</v>
      </c>
      <c r="AM439" s="4">
        <v>0</v>
      </c>
      <c r="AN439" s="4">
        <v>0</v>
      </c>
      <c r="AO439" s="4">
        <v>0</v>
      </c>
      <c r="AP439" s="3" t="s">
        <v>58</v>
      </c>
      <c r="AQ439" s="3" t="s">
        <v>115</v>
      </c>
      <c r="AR439" s="6" t="str">
        <f>HYPERLINK("http://catalog.hathitrust.org/Record/000781377","HathiTrust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HYPERLINK("https://creighton-primo.hosted.exlibrisgroup.com/primo-explore/search?tab=default_tab&amp;search_scope=EVERYTHING&amp;vid=01CRU&amp;lang=en_US&amp;offset=0&amp;query=any,contains,991000959249702656","Catalog Record")</f>
        <v>Catalog Record</v>
      </c>
      <c r="AT439" s="6" t="str">
        <f>HYPERLINK("http://www.worldcat.org/oclc/10071497","WorldCat Record")</f>
        <v>WorldCat Record</v>
      </c>
    </row>
    <row r="440" spans="1:46" ht="40.5" customHeight="1" x14ac:dyDescent="0.25">
      <c r="A440" s="8" t="s">
        <v>58</v>
      </c>
      <c r="B440" s="2" t="s">
        <v>3432</v>
      </c>
      <c r="C440" s="2" t="s">
        <v>3433</v>
      </c>
      <c r="D440" s="2" t="s">
        <v>3434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K440" s="2" t="s">
        <v>3435</v>
      </c>
      <c r="L440" s="2" t="s">
        <v>3436</v>
      </c>
      <c r="M440" s="3" t="s">
        <v>336</v>
      </c>
      <c r="O440" s="3" t="s">
        <v>64</v>
      </c>
      <c r="P440" s="3" t="s">
        <v>96</v>
      </c>
      <c r="R440" s="3" t="s">
        <v>1346</v>
      </c>
      <c r="S440" s="4">
        <v>3</v>
      </c>
      <c r="T440" s="4">
        <v>3</v>
      </c>
      <c r="U440" s="5" t="s">
        <v>3437</v>
      </c>
      <c r="V440" s="5" t="s">
        <v>3437</v>
      </c>
      <c r="W440" s="5" t="s">
        <v>2918</v>
      </c>
      <c r="X440" s="5" t="s">
        <v>2918</v>
      </c>
      <c r="Y440" s="4">
        <v>5</v>
      </c>
      <c r="Z440" s="4">
        <v>5</v>
      </c>
      <c r="AA440" s="4">
        <v>5</v>
      </c>
      <c r="AB440" s="4">
        <v>1</v>
      </c>
      <c r="AC440" s="4">
        <v>1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3" t="s">
        <v>58</v>
      </c>
      <c r="AQ440" s="3" t="s">
        <v>58</v>
      </c>
      <c r="AS440" s="6" t="str">
        <f>HYPERLINK("https://creighton-primo.hosted.exlibrisgroup.com/primo-explore/search?tab=default_tab&amp;search_scope=EVERYTHING&amp;vid=01CRU&amp;lang=en_US&amp;offset=0&amp;query=any,contains,991000959219702656","Catalog Record")</f>
        <v>Catalog Record</v>
      </c>
      <c r="AT440" s="6" t="str">
        <f>HYPERLINK("http://www.worldcat.org/oclc/10101981","WorldCat Record")</f>
        <v>WorldCat Record</v>
      </c>
    </row>
    <row r="441" spans="1:46" ht="40.5" customHeight="1" x14ac:dyDescent="0.25">
      <c r="A441" s="8" t="s">
        <v>58</v>
      </c>
      <c r="B441" s="2" t="s">
        <v>3438</v>
      </c>
      <c r="C441" s="2" t="s">
        <v>3439</v>
      </c>
      <c r="D441" s="2" t="s">
        <v>3440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L441" s="2" t="s">
        <v>3441</v>
      </c>
      <c r="M441" s="3" t="s">
        <v>290</v>
      </c>
      <c r="O441" s="3" t="s">
        <v>64</v>
      </c>
      <c r="P441" s="3" t="s">
        <v>3442</v>
      </c>
      <c r="R441" s="3" t="s">
        <v>1346</v>
      </c>
      <c r="S441" s="4">
        <v>7</v>
      </c>
      <c r="T441" s="4">
        <v>7</v>
      </c>
      <c r="U441" s="5" t="s">
        <v>3443</v>
      </c>
      <c r="V441" s="5" t="s">
        <v>3443</v>
      </c>
      <c r="W441" s="5" t="s">
        <v>3444</v>
      </c>
      <c r="X441" s="5" t="s">
        <v>3444</v>
      </c>
      <c r="Y441" s="4">
        <v>88</v>
      </c>
      <c r="Z441" s="4">
        <v>83</v>
      </c>
      <c r="AA441" s="4">
        <v>83</v>
      </c>
      <c r="AB441" s="4">
        <v>1</v>
      </c>
      <c r="AC441" s="4">
        <v>1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HYPERLINK("https://creighton-primo.hosted.exlibrisgroup.com/primo-explore/search?tab=default_tab&amp;search_scope=EVERYTHING&amp;vid=01CRU&amp;lang=en_US&amp;offset=0&amp;query=any,contains,991001426849702656","Catalog Record")</f>
        <v>Catalog Record</v>
      </c>
      <c r="AT441" s="6" t="str">
        <f>HYPERLINK("http://www.worldcat.org/oclc/20410581","WorldCat Record")</f>
        <v>WorldCat Record</v>
      </c>
    </row>
    <row r="442" spans="1:46" ht="40.5" customHeight="1" x14ac:dyDescent="0.25">
      <c r="A442" s="8" t="s">
        <v>58</v>
      </c>
      <c r="B442" s="2" t="s">
        <v>3445</v>
      </c>
      <c r="C442" s="2" t="s">
        <v>3446</v>
      </c>
      <c r="D442" s="2" t="s">
        <v>3447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3448</v>
      </c>
      <c r="L442" s="2" t="s">
        <v>3449</v>
      </c>
      <c r="M442" s="3" t="s">
        <v>642</v>
      </c>
      <c r="N442" s="2" t="s">
        <v>3450</v>
      </c>
      <c r="O442" s="3" t="s">
        <v>64</v>
      </c>
      <c r="P442" s="3" t="s">
        <v>755</v>
      </c>
      <c r="Q442" s="2" t="s">
        <v>3451</v>
      </c>
      <c r="R442" s="3" t="s">
        <v>1346</v>
      </c>
      <c r="S442" s="4">
        <v>5</v>
      </c>
      <c r="T442" s="4">
        <v>5</v>
      </c>
      <c r="U442" s="5" t="s">
        <v>3443</v>
      </c>
      <c r="V442" s="5" t="s">
        <v>3443</v>
      </c>
      <c r="W442" s="5" t="s">
        <v>3452</v>
      </c>
      <c r="X442" s="5" t="s">
        <v>3452</v>
      </c>
      <c r="Y442" s="4">
        <v>219</v>
      </c>
      <c r="Z442" s="4">
        <v>210</v>
      </c>
      <c r="AA442" s="4">
        <v>224</v>
      </c>
      <c r="AB442" s="4">
        <v>4</v>
      </c>
      <c r="AC442" s="4">
        <v>4</v>
      </c>
      <c r="AD442" s="4">
        <v>8</v>
      </c>
      <c r="AE442" s="4">
        <v>8</v>
      </c>
      <c r="AF442" s="4">
        <v>0</v>
      </c>
      <c r="AG442" s="4">
        <v>0</v>
      </c>
      <c r="AH442" s="4">
        <v>1</v>
      </c>
      <c r="AI442" s="4">
        <v>1</v>
      </c>
      <c r="AJ442" s="4">
        <v>4</v>
      </c>
      <c r="AK442" s="4">
        <v>4</v>
      </c>
      <c r="AL442" s="4">
        <v>3</v>
      </c>
      <c r="AM442" s="4">
        <v>3</v>
      </c>
      <c r="AN442" s="4">
        <v>0</v>
      </c>
      <c r="AO442" s="4">
        <v>0</v>
      </c>
      <c r="AP442" s="3" t="s">
        <v>58</v>
      </c>
      <c r="AQ442" s="3" t="s">
        <v>115</v>
      </c>
      <c r="AR442" s="6" t="str">
        <f>HYPERLINK("http://catalog.hathitrust.org/Record/001578292","HathiTrust Record")</f>
        <v>HathiTrust Record</v>
      </c>
      <c r="AS442" s="6" t="str">
        <f>HYPERLINK("https://creighton-primo.hosted.exlibrisgroup.com/primo-explore/search?tab=default_tab&amp;search_scope=EVERYTHING&amp;vid=01CRU&amp;lang=en_US&amp;offset=0&amp;query=any,contains,991001014069702656","Catalog Record")</f>
        <v>Catalog Record</v>
      </c>
      <c r="AT442" s="6" t="str">
        <f>HYPERLINK("http://www.worldcat.org/oclc/814403","WorldCat Record")</f>
        <v>WorldCat Record</v>
      </c>
    </row>
    <row r="443" spans="1:46" ht="40.5" customHeight="1" x14ac:dyDescent="0.25">
      <c r="A443" s="8" t="s">
        <v>58</v>
      </c>
      <c r="B443" s="2" t="s">
        <v>3453</v>
      </c>
      <c r="C443" s="2" t="s">
        <v>3454</v>
      </c>
      <c r="D443" s="2" t="s">
        <v>3455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L443" s="2" t="s">
        <v>3456</v>
      </c>
      <c r="M443" s="3" t="s">
        <v>424</v>
      </c>
      <c r="O443" s="3" t="s">
        <v>64</v>
      </c>
      <c r="P443" s="3" t="s">
        <v>291</v>
      </c>
      <c r="R443" s="3" t="s">
        <v>1346</v>
      </c>
      <c r="S443" s="4">
        <v>16</v>
      </c>
      <c r="T443" s="4">
        <v>16</v>
      </c>
      <c r="U443" s="5" t="s">
        <v>3457</v>
      </c>
      <c r="V443" s="5" t="s">
        <v>3457</v>
      </c>
      <c r="W443" s="5" t="s">
        <v>3003</v>
      </c>
      <c r="X443" s="5" t="s">
        <v>3003</v>
      </c>
      <c r="Y443" s="4">
        <v>15</v>
      </c>
      <c r="Z443" s="4">
        <v>13</v>
      </c>
      <c r="AA443" s="4">
        <v>15</v>
      </c>
      <c r="AB443" s="4">
        <v>1</v>
      </c>
      <c r="AC443" s="4">
        <v>1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3" t="s">
        <v>58</v>
      </c>
      <c r="AQ443" s="3" t="s">
        <v>115</v>
      </c>
      <c r="AR443" s="6" t="str">
        <f>HYPERLINK("http://catalog.hathitrust.org/Record/005389058","HathiTrust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HYPERLINK("https://creighton-primo.hosted.exlibrisgroup.com/primo-explore/search?tab=default_tab&amp;search_scope=EVERYTHING&amp;vid=01CRU&amp;lang=en_US&amp;offset=0&amp;query=any,contains,991000677189702656","Catalog Record")</f>
        <v>Catalog Record</v>
      </c>
      <c r="AT443" s="6" t="str">
        <f>HYPERLINK("http://www.worldcat.org/oclc/29999391","WorldCat Record")</f>
        <v>WorldCat Record</v>
      </c>
    </row>
    <row r="444" spans="1:46" ht="40.5" customHeight="1" x14ac:dyDescent="0.25">
      <c r="A444" s="8" t="s">
        <v>58</v>
      </c>
      <c r="B444" s="2" t="s">
        <v>3458</v>
      </c>
      <c r="C444" s="2" t="s">
        <v>3459</v>
      </c>
      <c r="D444" s="2" t="s">
        <v>3460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L444" s="2" t="s">
        <v>3461</v>
      </c>
      <c r="M444" s="3" t="s">
        <v>142</v>
      </c>
      <c r="O444" s="3" t="s">
        <v>64</v>
      </c>
      <c r="P444" s="3" t="s">
        <v>65</v>
      </c>
      <c r="R444" s="3" t="s">
        <v>1346</v>
      </c>
      <c r="S444" s="4">
        <v>15</v>
      </c>
      <c r="T444" s="4">
        <v>15</v>
      </c>
      <c r="U444" s="5" t="s">
        <v>3462</v>
      </c>
      <c r="V444" s="5" t="s">
        <v>3462</v>
      </c>
      <c r="W444" s="5" t="s">
        <v>3463</v>
      </c>
      <c r="X444" s="5" t="s">
        <v>3463</v>
      </c>
      <c r="Y444" s="4">
        <v>22</v>
      </c>
      <c r="Z444" s="4">
        <v>20</v>
      </c>
      <c r="AA444" s="4">
        <v>22</v>
      </c>
      <c r="AB444" s="4">
        <v>1</v>
      </c>
      <c r="AC444" s="4">
        <v>1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3" t="s">
        <v>58</v>
      </c>
      <c r="AQ444" s="3" t="s">
        <v>115</v>
      </c>
      <c r="AR444" s="6" t="str">
        <f>HYPERLINK("http://catalog.hathitrust.org/Record/002622104","HathiTrust Record")</f>
        <v>HathiTrust Record</v>
      </c>
      <c r="AS444" s="6" t="str">
        <f>HYPERLINK("https://creighton-primo.hosted.exlibrisgroup.com/primo-explore/search?tab=default_tab&amp;search_scope=EVERYTHING&amp;vid=01CRU&amp;lang=en_US&amp;offset=0&amp;query=any,contains,991001307079702656","Catalog Record")</f>
        <v>Catalog Record</v>
      </c>
      <c r="AT444" s="6" t="str">
        <f>HYPERLINK("http://www.worldcat.org/oclc/25512801","WorldCat Record")</f>
        <v>WorldCat Record</v>
      </c>
    </row>
    <row r="445" spans="1:46" ht="40.5" customHeight="1" x14ac:dyDescent="0.25">
      <c r="A445" s="8" t="s">
        <v>58</v>
      </c>
      <c r="B445" s="2" t="s">
        <v>3464</v>
      </c>
      <c r="C445" s="2" t="s">
        <v>3465</v>
      </c>
      <c r="D445" s="2" t="s">
        <v>3466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L445" s="2" t="s">
        <v>3467</v>
      </c>
      <c r="M445" s="3" t="s">
        <v>380</v>
      </c>
      <c r="O445" s="3" t="s">
        <v>64</v>
      </c>
      <c r="P445" s="3" t="s">
        <v>65</v>
      </c>
      <c r="R445" s="3" t="s">
        <v>1346</v>
      </c>
      <c r="S445" s="4">
        <v>15</v>
      </c>
      <c r="T445" s="4">
        <v>15</v>
      </c>
      <c r="U445" s="5" t="s">
        <v>3468</v>
      </c>
      <c r="V445" s="5" t="s">
        <v>3468</v>
      </c>
      <c r="W445" s="5" t="s">
        <v>3469</v>
      </c>
      <c r="X445" s="5" t="s">
        <v>3469</v>
      </c>
      <c r="Y445" s="4">
        <v>324</v>
      </c>
      <c r="Z445" s="4">
        <v>270</v>
      </c>
      <c r="AA445" s="4">
        <v>276</v>
      </c>
      <c r="AB445" s="4">
        <v>2</v>
      </c>
      <c r="AC445" s="4">
        <v>2</v>
      </c>
      <c r="AD445" s="4">
        <v>13</v>
      </c>
      <c r="AE445" s="4">
        <v>13</v>
      </c>
      <c r="AF445" s="4">
        <v>4</v>
      </c>
      <c r="AG445" s="4">
        <v>4</v>
      </c>
      <c r="AH445" s="4">
        <v>1</v>
      </c>
      <c r="AI445" s="4">
        <v>1</v>
      </c>
      <c r="AJ445" s="4">
        <v>11</v>
      </c>
      <c r="AK445" s="4">
        <v>11</v>
      </c>
      <c r="AL445" s="4">
        <v>1</v>
      </c>
      <c r="AM445" s="4">
        <v>1</v>
      </c>
      <c r="AN445" s="4">
        <v>0</v>
      </c>
      <c r="AO445" s="4">
        <v>0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HYPERLINK("https://creighton-primo.hosted.exlibrisgroup.com/primo-explore/search?tab=default_tab&amp;search_scope=EVERYTHING&amp;vid=01CRU&amp;lang=en_US&amp;offset=0&amp;query=any,contains,991000646529702656","Catalog Record")</f>
        <v>Catalog Record</v>
      </c>
      <c r="AT445" s="6" t="str">
        <f>HYPERLINK("http://www.worldcat.org/oclc/26553051","WorldCat Record")</f>
        <v>WorldCat Record</v>
      </c>
    </row>
    <row r="446" spans="1:46" ht="40.5" customHeight="1" x14ac:dyDescent="0.25">
      <c r="A446" s="8" t="s">
        <v>58</v>
      </c>
      <c r="B446" s="2" t="s">
        <v>3470</v>
      </c>
      <c r="C446" s="2" t="s">
        <v>3471</v>
      </c>
      <c r="D446" s="2" t="s">
        <v>3472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K446" s="2" t="s">
        <v>3473</v>
      </c>
      <c r="L446" s="2" t="s">
        <v>3474</v>
      </c>
      <c r="M446" s="3" t="s">
        <v>3314</v>
      </c>
      <c r="O446" s="3" t="s">
        <v>64</v>
      </c>
      <c r="P446" s="3" t="s">
        <v>65</v>
      </c>
      <c r="R446" s="3" t="s">
        <v>1346</v>
      </c>
      <c r="S446" s="4">
        <v>5</v>
      </c>
      <c r="T446" s="4">
        <v>5</v>
      </c>
      <c r="U446" s="5" t="s">
        <v>3475</v>
      </c>
      <c r="V446" s="5" t="s">
        <v>3475</v>
      </c>
      <c r="W446" s="5" t="s">
        <v>2918</v>
      </c>
      <c r="X446" s="5" t="s">
        <v>2918</v>
      </c>
      <c r="Y446" s="4">
        <v>471</v>
      </c>
      <c r="Z446" s="4">
        <v>460</v>
      </c>
      <c r="AA446" s="4">
        <v>479</v>
      </c>
      <c r="AB446" s="4">
        <v>5</v>
      </c>
      <c r="AC446" s="4">
        <v>5</v>
      </c>
      <c r="AD446" s="4">
        <v>23</v>
      </c>
      <c r="AE446" s="4">
        <v>24</v>
      </c>
      <c r="AF446" s="4">
        <v>12</v>
      </c>
      <c r="AG446" s="4">
        <v>12</v>
      </c>
      <c r="AH446" s="4">
        <v>3</v>
      </c>
      <c r="AI446" s="4">
        <v>4</v>
      </c>
      <c r="AJ446" s="4">
        <v>11</v>
      </c>
      <c r="AK446" s="4">
        <v>11</v>
      </c>
      <c r="AL446" s="4">
        <v>3</v>
      </c>
      <c r="AM446" s="4">
        <v>3</v>
      </c>
      <c r="AN446" s="4">
        <v>0</v>
      </c>
      <c r="AO446" s="4">
        <v>0</v>
      </c>
      <c r="AP446" s="3" t="s">
        <v>58</v>
      </c>
      <c r="AQ446" s="3" t="s">
        <v>58</v>
      </c>
      <c r="AR446" s="6" t="str">
        <f>HYPERLINK("http://catalog.hathitrust.org/Record/001556011","HathiTrust Record")</f>
        <v>HathiTrust Record</v>
      </c>
      <c r="AS446" s="6" t="str">
        <f>HYPERLINK("https://creighton-primo.hosted.exlibrisgroup.com/primo-explore/search?tab=default_tab&amp;search_scope=EVERYTHING&amp;vid=01CRU&amp;lang=en_US&amp;offset=0&amp;query=any,contains,991000959779702656","Catalog Record")</f>
        <v>Catalog Record</v>
      </c>
      <c r="AT446" s="6" t="str">
        <f>HYPERLINK("http://www.worldcat.org/oclc/1331265","WorldCat Record")</f>
        <v>WorldCat Record</v>
      </c>
    </row>
    <row r="447" spans="1:46" ht="40.5" customHeight="1" x14ac:dyDescent="0.25">
      <c r="A447" s="8" t="s">
        <v>58</v>
      </c>
      <c r="B447" s="2" t="s">
        <v>3476</v>
      </c>
      <c r="C447" s="2" t="s">
        <v>3477</v>
      </c>
      <c r="D447" s="2" t="s">
        <v>3478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60</v>
      </c>
      <c r="L447" s="2" t="s">
        <v>3479</v>
      </c>
      <c r="M447" s="3" t="s">
        <v>380</v>
      </c>
      <c r="O447" s="3" t="s">
        <v>64</v>
      </c>
      <c r="P447" s="3" t="s">
        <v>755</v>
      </c>
      <c r="Q447" s="2" t="s">
        <v>3480</v>
      </c>
      <c r="R447" s="3" t="s">
        <v>1346</v>
      </c>
      <c r="S447" s="4">
        <v>19</v>
      </c>
      <c r="T447" s="4">
        <v>19</v>
      </c>
      <c r="U447" s="5" t="s">
        <v>3099</v>
      </c>
      <c r="V447" s="5" t="s">
        <v>3099</v>
      </c>
      <c r="W447" s="5" t="s">
        <v>3481</v>
      </c>
      <c r="X447" s="5" t="s">
        <v>3481</v>
      </c>
      <c r="Y447" s="4">
        <v>212</v>
      </c>
      <c r="Z447" s="4">
        <v>176</v>
      </c>
      <c r="AA447" s="4">
        <v>348</v>
      </c>
      <c r="AB447" s="4">
        <v>2</v>
      </c>
      <c r="AC447" s="4">
        <v>4</v>
      </c>
      <c r="AD447" s="4">
        <v>5</v>
      </c>
      <c r="AE447" s="4">
        <v>13</v>
      </c>
      <c r="AF447" s="4">
        <v>2</v>
      </c>
      <c r="AG447" s="4">
        <v>4</v>
      </c>
      <c r="AH447" s="4">
        <v>0</v>
      </c>
      <c r="AI447" s="4">
        <v>2</v>
      </c>
      <c r="AJ447" s="4">
        <v>2</v>
      </c>
      <c r="AK447" s="4">
        <v>5</v>
      </c>
      <c r="AL447" s="4">
        <v>0</v>
      </c>
      <c r="AM447" s="4">
        <v>1</v>
      </c>
      <c r="AN447" s="4">
        <v>1</v>
      </c>
      <c r="AO447" s="4">
        <v>1</v>
      </c>
      <c r="AP447" s="3" t="s">
        <v>115</v>
      </c>
      <c r="AQ447" s="3" t="s">
        <v>58</v>
      </c>
      <c r="AR447" s="6" t="str">
        <f>HYPERLINK("http://catalog.hathitrust.org/Record/102194674","HathiTrust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HYPERLINK("https://creighton-primo.hosted.exlibrisgroup.com/primo-explore/search?tab=default_tab&amp;search_scope=EVERYTHING&amp;vid=01CRU&amp;lang=en_US&amp;offset=0&amp;query=any,contains,991000668249702656","Catalog Record")</f>
        <v>Catalog Record</v>
      </c>
      <c r="AT447" s="6" t="str">
        <f>HYPERLINK("http://www.worldcat.org/oclc/32383418","WorldCat Record")</f>
        <v>WorldCat Record</v>
      </c>
    </row>
    <row r="448" spans="1:46" ht="40.5" customHeight="1" x14ac:dyDescent="0.25">
      <c r="A448" s="8" t="s">
        <v>58</v>
      </c>
      <c r="B448" s="2" t="s">
        <v>3482</v>
      </c>
      <c r="C448" s="2" t="s">
        <v>3483</v>
      </c>
      <c r="D448" s="2" t="s">
        <v>3484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3485</v>
      </c>
      <c r="L448" s="2" t="s">
        <v>3486</v>
      </c>
      <c r="M448" s="3" t="s">
        <v>2027</v>
      </c>
      <c r="O448" s="3" t="s">
        <v>64</v>
      </c>
      <c r="P448" s="3" t="s">
        <v>265</v>
      </c>
      <c r="Q448" s="2" t="s">
        <v>3487</v>
      </c>
      <c r="R448" s="3" t="s">
        <v>1346</v>
      </c>
      <c r="S448" s="4">
        <v>7</v>
      </c>
      <c r="T448" s="4">
        <v>7</v>
      </c>
      <c r="U448" s="5" t="s">
        <v>3443</v>
      </c>
      <c r="V448" s="5" t="s">
        <v>3443</v>
      </c>
      <c r="W448" s="5" t="s">
        <v>3156</v>
      </c>
      <c r="X448" s="5" t="s">
        <v>3156</v>
      </c>
      <c r="Y448" s="4">
        <v>115</v>
      </c>
      <c r="Z448" s="4">
        <v>104</v>
      </c>
      <c r="AA448" s="4">
        <v>105</v>
      </c>
      <c r="AB448" s="4">
        <v>3</v>
      </c>
      <c r="AC448" s="4">
        <v>3</v>
      </c>
      <c r="AD448" s="4">
        <v>4</v>
      </c>
      <c r="AE448" s="4">
        <v>4</v>
      </c>
      <c r="AF448" s="4">
        <v>0</v>
      </c>
      <c r="AG448" s="4">
        <v>0</v>
      </c>
      <c r="AH448" s="4">
        <v>1</v>
      </c>
      <c r="AI448" s="4">
        <v>1</v>
      </c>
      <c r="AJ448" s="4">
        <v>1</v>
      </c>
      <c r="AK448" s="4">
        <v>1</v>
      </c>
      <c r="AL448" s="4">
        <v>2</v>
      </c>
      <c r="AM448" s="4">
        <v>2</v>
      </c>
      <c r="AN448" s="4">
        <v>0</v>
      </c>
      <c r="AO448" s="4">
        <v>0</v>
      </c>
      <c r="AP448" s="3" t="s">
        <v>58</v>
      </c>
      <c r="AQ448" s="3" t="s">
        <v>58</v>
      </c>
      <c r="AR448" s="6" t="str">
        <f>HYPERLINK("http://catalog.hathitrust.org/Record/000854752","HathiTrust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HYPERLINK("https://creighton-primo.hosted.exlibrisgroup.com/primo-explore/search?tab=default_tab&amp;search_scope=EVERYTHING&amp;vid=01CRU&amp;lang=en_US&amp;offset=0&amp;query=any,contains,991000959739702656","Catalog Record")</f>
        <v>Catalog Record</v>
      </c>
      <c r="AT448" s="6" t="str">
        <f>HYPERLINK("http://www.worldcat.org/oclc/3175025","WorldCat Record")</f>
        <v>WorldCat Record</v>
      </c>
    </row>
    <row r="449" spans="1:46" ht="40.5" customHeight="1" x14ac:dyDescent="0.25">
      <c r="A449" s="8" t="s">
        <v>58</v>
      </c>
      <c r="B449" s="2" t="s">
        <v>3488</v>
      </c>
      <c r="C449" s="2" t="s">
        <v>3489</v>
      </c>
      <c r="D449" s="2" t="s">
        <v>3490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L449" s="2" t="s">
        <v>3491</v>
      </c>
      <c r="M449" s="3" t="s">
        <v>189</v>
      </c>
      <c r="O449" s="3" t="s">
        <v>64</v>
      </c>
      <c r="P449" s="3" t="s">
        <v>643</v>
      </c>
      <c r="Q449" s="2" t="s">
        <v>3492</v>
      </c>
      <c r="R449" s="3" t="s">
        <v>1346</v>
      </c>
      <c r="S449" s="4">
        <v>3</v>
      </c>
      <c r="T449" s="4">
        <v>3</v>
      </c>
      <c r="U449" s="5" t="s">
        <v>3493</v>
      </c>
      <c r="V449" s="5" t="s">
        <v>3493</v>
      </c>
      <c r="W449" s="5" t="s">
        <v>3494</v>
      </c>
      <c r="X449" s="5" t="s">
        <v>3494</v>
      </c>
      <c r="Y449" s="4">
        <v>134</v>
      </c>
      <c r="Z449" s="4">
        <v>126</v>
      </c>
      <c r="AA449" s="4">
        <v>134</v>
      </c>
      <c r="AB449" s="4">
        <v>1</v>
      </c>
      <c r="AC449" s="4">
        <v>1</v>
      </c>
      <c r="AD449" s="4">
        <v>3</v>
      </c>
      <c r="AE449" s="4">
        <v>3</v>
      </c>
      <c r="AF449" s="4">
        <v>1</v>
      </c>
      <c r="AG449" s="4">
        <v>1</v>
      </c>
      <c r="AH449" s="4">
        <v>0</v>
      </c>
      <c r="AI449" s="4">
        <v>0</v>
      </c>
      <c r="AJ449" s="4">
        <v>1</v>
      </c>
      <c r="AK449" s="4">
        <v>1</v>
      </c>
      <c r="AL449" s="4">
        <v>0</v>
      </c>
      <c r="AM449" s="4">
        <v>0</v>
      </c>
      <c r="AN449" s="4">
        <v>1</v>
      </c>
      <c r="AO449" s="4">
        <v>1</v>
      </c>
      <c r="AP449" s="3" t="s">
        <v>115</v>
      </c>
      <c r="AQ449" s="3" t="s">
        <v>58</v>
      </c>
      <c r="AR449" s="6" t="str">
        <f>HYPERLINK("http://catalog.hathitrust.org/Record/002792368","HathiTrust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HYPERLINK("https://creighton-primo.hosted.exlibrisgroup.com/primo-explore/search?tab=default_tab&amp;search_scope=EVERYTHING&amp;vid=01CRU&amp;lang=en_US&amp;offset=0&amp;query=any,contains,991001515619702656","Catalog Record")</f>
        <v>Catalog Record</v>
      </c>
      <c r="AT449" s="6" t="str">
        <f>HYPERLINK("http://www.worldcat.org/oclc/27865488","WorldCat Record")</f>
        <v>WorldCat Record</v>
      </c>
    </row>
    <row r="450" spans="1:46" ht="40.5" customHeight="1" x14ac:dyDescent="0.25">
      <c r="A450" s="8" t="s">
        <v>58</v>
      </c>
      <c r="B450" s="2" t="s">
        <v>3495</v>
      </c>
      <c r="C450" s="2" t="s">
        <v>3496</v>
      </c>
      <c r="D450" s="2" t="s">
        <v>3497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3498</v>
      </c>
      <c r="L450" s="2" t="s">
        <v>3499</v>
      </c>
      <c r="M450" s="3" t="s">
        <v>1122</v>
      </c>
      <c r="O450" s="3" t="s">
        <v>64</v>
      </c>
      <c r="P450" s="3" t="s">
        <v>1355</v>
      </c>
      <c r="Q450" s="2" t="s">
        <v>3500</v>
      </c>
      <c r="R450" s="3" t="s">
        <v>1346</v>
      </c>
      <c r="S450" s="4">
        <v>29</v>
      </c>
      <c r="T450" s="4">
        <v>29</v>
      </c>
      <c r="U450" s="5" t="s">
        <v>1228</v>
      </c>
      <c r="V450" s="5" t="s">
        <v>1228</v>
      </c>
      <c r="W450" s="5" t="s">
        <v>3501</v>
      </c>
      <c r="X450" s="5" t="s">
        <v>3501</v>
      </c>
      <c r="Y450" s="4">
        <v>79</v>
      </c>
      <c r="Z450" s="4">
        <v>66</v>
      </c>
      <c r="AA450" s="4">
        <v>66</v>
      </c>
      <c r="AB450" s="4">
        <v>1</v>
      </c>
      <c r="AC450" s="4">
        <v>1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3" t="s">
        <v>58</v>
      </c>
      <c r="AQ450" s="3" t="s">
        <v>58</v>
      </c>
      <c r="AS450" s="6" t="str">
        <f>HYPERLINK("https://creighton-primo.hosted.exlibrisgroup.com/primo-explore/search?tab=default_tab&amp;search_scope=EVERYTHING&amp;vid=01CRU&amp;lang=en_US&amp;offset=0&amp;query=any,contains,991000937229702656","Catalog Record")</f>
        <v>Catalog Record</v>
      </c>
      <c r="AT450" s="6" t="str">
        <f>HYPERLINK("http://www.worldcat.org/oclc/23145226","WorldCat Record")</f>
        <v>WorldCat Record</v>
      </c>
    </row>
    <row r="451" spans="1:46" ht="40.5" customHeight="1" x14ac:dyDescent="0.25">
      <c r="A451" s="8" t="s">
        <v>58</v>
      </c>
      <c r="B451" s="2" t="s">
        <v>3502</v>
      </c>
      <c r="C451" s="2" t="s">
        <v>3503</v>
      </c>
      <c r="D451" s="2" t="s">
        <v>3504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3505</v>
      </c>
      <c r="L451" s="2" t="s">
        <v>2220</v>
      </c>
      <c r="M451" s="3" t="s">
        <v>1122</v>
      </c>
      <c r="N451" s="2" t="s">
        <v>143</v>
      </c>
      <c r="O451" s="3" t="s">
        <v>64</v>
      </c>
      <c r="P451" s="3" t="s">
        <v>112</v>
      </c>
      <c r="R451" s="3" t="s">
        <v>1346</v>
      </c>
      <c r="S451" s="4">
        <v>9</v>
      </c>
      <c r="T451" s="4">
        <v>9</v>
      </c>
      <c r="U451" s="5" t="s">
        <v>3506</v>
      </c>
      <c r="V451" s="5" t="s">
        <v>3506</v>
      </c>
      <c r="W451" s="5" t="s">
        <v>3308</v>
      </c>
      <c r="X451" s="5" t="s">
        <v>3308</v>
      </c>
      <c r="Y451" s="4">
        <v>111</v>
      </c>
      <c r="Z451" s="4">
        <v>57</v>
      </c>
      <c r="AA451" s="4">
        <v>105</v>
      </c>
      <c r="AB451" s="4">
        <v>2</v>
      </c>
      <c r="AC451" s="4">
        <v>2</v>
      </c>
      <c r="AD451" s="4">
        <v>5</v>
      </c>
      <c r="AE451" s="4">
        <v>7</v>
      </c>
      <c r="AF451" s="4">
        <v>2</v>
      </c>
      <c r="AG451" s="4">
        <v>3</v>
      </c>
      <c r="AH451" s="4">
        <v>2</v>
      </c>
      <c r="AI451" s="4">
        <v>4</v>
      </c>
      <c r="AJ451" s="4">
        <v>1</v>
      </c>
      <c r="AK451" s="4">
        <v>1</v>
      </c>
      <c r="AL451" s="4">
        <v>1</v>
      </c>
      <c r="AM451" s="4">
        <v>1</v>
      </c>
      <c r="AN451" s="4">
        <v>0</v>
      </c>
      <c r="AO451" s="4">
        <v>0</v>
      </c>
      <c r="AP451" s="3" t="s">
        <v>58</v>
      </c>
      <c r="AQ451" s="3" t="s">
        <v>115</v>
      </c>
      <c r="AR451" s="6" t="str">
        <f>HYPERLINK("http://catalog.hathitrust.org/Record/002055997","HathiTrust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HYPERLINK("https://creighton-primo.hosted.exlibrisgroup.com/primo-explore/search?tab=default_tab&amp;search_scope=EVERYTHING&amp;vid=01CRU&amp;lang=en_US&amp;offset=0&amp;query=any,contains,991000816579702656","Catalog Record")</f>
        <v>Catalog Record</v>
      </c>
      <c r="AT451" s="6" t="str">
        <f>HYPERLINK("http://www.worldcat.org/oclc/20722614","WorldCat Record")</f>
        <v>WorldCat Record</v>
      </c>
    </row>
    <row r="452" spans="1:46" ht="40.5" customHeight="1" x14ac:dyDescent="0.25">
      <c r="A452" s="8" t="s">
        <v>58</v>
      </c>
      <c r="B452" s="2" t="s">
        <v>3507</v>
      </c>
      <c r="C452" s="2" t="s">
        <v>3508</v>
      </c>
      <c r="D452" s="2" t="s">
        <v>3509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3510</v>
      </c>
      <c r="L452" s="2" t="s">
        <v>3511</v>
      </c>
      <c r="M452" s="3" t="s">
        <v>159</v>
      </c>
      <c r="O452" s="3" t="s">
        <v>64</v>
      </c>
      <c r="P452" s="3" t="s">
        <v>265</v>
      </c>
      <c r="Q452" s="2" t="s">
        <v>3512</v>
      </c>
      <c r="R452" s="3" t="s">
        <v>1346</v>
      </c>
      <c r="S452" s="4">
        <v>2</v>
      </c>
      <c r="T452" s="4">
        <v>2</v>
      </c>
      <c r="U452" s="5" t="s">
        <v>3513</v>
      </c>
      <c r="V452" s="5" t="s">
        <v>3513</v>
      </c>
      <c r="W452" s="5" t="s">
        <v>3156</v>
      </c>
      <c r="X452" s="5" t="s">
        <v>3156</v>
      </c>
      <c r="Y452" s="4">
        <v>142</v>
      </c>
      <c r="Z452" s="4">
        <v>108</v>
      </c>
      <c r="AA452" s="4">
        <v>110</v>
      </c>
      <c r="AB452" s="4">
        <v>1</v>
      </c>
      <c r="AC452" s="4">
        <v>1</v>
      </c>
      <c r="AD452" s="4">
        <v>3</v>
      </c>
      <c r="AE452" s="4">
        <v>3</v>
      </c>
      <c r="AF452" s="4">
        <v>2</v>
      </c>
      <c r="AG452" s="4">
        <v>2</v>
      </c>
      <c r="AH452" s="4">
        <v>0</v>
      </c>
      <c r="AI452" s="4">
        <v>0</v>
      </c>
      <c r="AJ452" s="4">
        <v>3</v>
      </c>
      <c r="AK452" s="4">
        <v>3</v>
      </c>
      <c r="AL452" s="4">
        <v>0</v>
      </c>
      <c r="AM452" s="4">
        <v>0</v>
      </c>
      <c r="AN452" s="4">
        <v>0</v>
      </c>
      <c r="AO452" s="4">
        <v>0</v>
      </c>
      <c r="AP452" s="3" t="s">
        <v>58</v>
      </c>
      <c r="AQ452" s="3" t="s">
        <v>58</v>
      </c>
      <c r="AR452" s="6" t="str">
        <f>HYPERLINK("http://catalog.hathitrust.org/Record/001560521","HathiTrust Record")</f>
        <v>HathiTrust Record</v>
      </c>
      <c r="AS452" s="6" t="str">
        <f>HYPERLINK("https://creighton-primo.hosted.exlibrisgroup.com/primo-explore/search?tab=default_tab&amp;search_scope=EVERYTHING&amp;vid=01CRU&amp;lang=en_US&amp;offset=0&amp;query=any,contains,991000959699702656","Catalog Record")</f>
        <v>Catalog Record</v>
      </c>
      <c r="AT452" s="6" t="str">
        <f>HYPERLINK("http://www.worldcat.org/oclc/3270704","WorldCat Record")</f>
        <v>WorldCat Record</v>
      </c>
    </row>
    <row r="453" spans="1:46" ht="40.5" customHeight="1" x14ac:dyDescent="0.25">
      <c r="A453" s="8" t="s">
        <v>58</v>
      </c>
      <c r="B453" s="2" t="s">
        <v>3514</v>
      </c>
      <c r="C453" s="2" t="s">
        <v>3515</v>
      </c>
      <c r="D453" s="2" t="s">
        <v>3516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L453" s="2" t="s">
        <v>3517</v>
      </c>
      <c r="M453" s="3" t="s">
        <v>189</v>
      </c>
      <c r="O453" s="3" t="s">
        <v>64</v>
      </c>
      <c r="P453" s="3" t="s">
        <v>144</v>
      </c>
      <c r="R453" s="3" t="s">
        <v>1346</v>
      </c>
      <c r="S453" s="4">
        <v>14</v>
      </c>
      <c r="T453" s="4">
        <v>14</v>
      </c>
      <c r="U453" s="5" t="s">
        <v>3518</v>
      </c>
      <c r="V453" s="5" t="s">
        <v>3518</v>
      </c>
      <c r="W453" s="5" t="s">
        <v>3519</v>
      </c>
      <c r="X453" s="5" t="s">
        <v>3519</v>
      </c>
      <c r="Y453" s="4">
        <v>97</v>
      </c>
      <c r="Z453" s="4">
        <v>67</v>
      </c>
      <c r="AA453" s="4">
        <v>111</v>
      </c>
      <c r="AB453" s="4">
        <v>1</v>
      </c>
      <c r="AC453" s="4">
        <v>1</v>
      </c>
      <c r="AD453" s="4">
        <v>1</v>
      </c>
      <c r="AE453" s="4">
        <v>1</v>
      </c>
      <c r="AF453" s="4">
        <v>0</v>
      </c>
      <c r="AG453" s="4">
        <v>0</v>
      </c>
      <c r="AH453" s="4">
        <v>1</v>
      </c>
      <c r="AI453" s="4">
        <v>1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3" t="s">
        <v>58</v>
      </c>
      <c r="AQ453" s="3" t="s">
        <v>115</v>
      </c>
      <c r="AR453" s="6" t="str">
        <f>HYPERLINK("http://catalog.hathitrust.org/Record/002599195","HathiTrust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HYPERLINK("https://creighton-primo.hosted.exlibrisgroup.com/primo-explore/search?tab=default_tab&amp;search_scope=EVERYTHING&amp;vid=01CRU&amp;lang=en_US&amp;offset=0&amp;query=any,contains,991000668459702656","Catalog Record")</f>
        <v>Catalog Record</v>
      </c>
      <c r="AT453" s="6" t="str">
        <f>HYPERLINK("http://www.worldcat.org/oclc/28510750","WorldCat Record")</f>
        <v>WorldCat Record</v>
      </c>
    </row>
    <row r="454" spans="1:46" ht="40.5" customHeight="1" x14ac:dyDescent="0.25">
      <c r="A454" s="8" t="s">
        <v>58</v>
      </c>
      <c r="B454" s="2" t="s">
        <v>3520</v>
      </c>
      <c r="C454" s="2" t="s">
        <v>3521</v>
      </c>
      <c r="D454" s="2" t="s">
        <v>3522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L454" s="2" t="s">
        <v>3523</v>
      </c>
      <c r="M454" s="3" t="s">
        <v>515</v>
      </c>
      <c r="O454" s="3" t="s">
        <v>64</v>
      </c>
      <c r="P454" s="3" t="s">
        <v>585</v>
      </c>
      <c r="Q454" s="2" t="s">
        <v>3524</v>
      </c>
      <c r="R454" s="3" t="s">
        <v>1346</v>
      </c>
      <c r="S454" s="4">
        <v>2</v>
      </c>
      <c r="T454" s="4">
        <v>2</v>
      </c>
      <c r="U454" s="5" t="s">
        <v>3525</v>
      </c>
      <c r="V454" s="5" t="s">
        <v>3525</v>
      </c>
      <c r="W454" s="5" t="s">
        <v>2918</v>
      </c>
      <c r="X454" s="5" t="s">
        <v>2918</v>
      </c>
      <c r="Y454" s="4">
        <v>86</v>
      </c>
      <c r="Z454" s="4">
        <v>59</v>
      </c>
      <c r="AA454" s="4">
        <v>80</v>
      </c>
      <c r="AB454" s="4">
        <v>1</v>
      </c>
      <c r="AC454" s="4">
        <v>1</v>
      </c>
      <c r="AD454" s="4">
        <v>2</v>
      </c>
      <c r="AE454" s="4">
        <v>2</v>
      </c>
      <c r="AF454" s="4">
        <v>0</v>
      </c>
      <c r="AG454" s="4">
        <v>0</v>
      </c>
      <c r="AH454" s="4">
        <v>1</v>
      </c>
      <c r="AI454" s="4">
        <v>1</v>
      </c>
      <c r="AJ454" s="4">
        <v>1</v>
      </c>
      <c r="AK454" s="4">
        <v>1</v>
      </c>
      <c r="AL454" s="4">
        <v>0</v>
      </c>
      <c r="AM454" s="4">
        <v>0</v>
      </c>
      <c r="AN454" s="4">
        <v>0</v>
      </c>
      <c r="AO454" s="4">
        <v>0</v>
      </c>
      <c r="AP454" s="3" t="s">
        <v>58</v>
      </c>
      <c r="AQ454" s="3" t="s">
        <v>115</v>
      </c>
      <c r="AR454" s="6" t="str">
        <f>HYPERLINK("http://catalog.hathitrust.org/Record/000834915","HathiTrust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HYPERLINK("https://creighton-primo.hosted.exlibrisgroup.com/primo-explore/search?tab=default_tab&amp;search_scope=EVERYTHING&amp;vid=01CRU&amp;lang=en_US&amp;offset=0&amp;query=any,contains,991000959619702656","Catalog Record")</f>
        <v>Catalog Record</v>
      </c>
      <c r="AT454" s="6" t="str">
        <f>HYPERLINK("http://www.worldcat.org/oclc/18780765","WorldCat Record")</f>
        <v>WorldCat Record</v>
      </c>
    </row>
    <row r="455" spans="1:46" ht="40.5" customHeight="1" x14ac:dyDescent="0.25">
      <c r="A455" s="8" t="s">
        <v>58</v>
      </c>
      <c r="B455" s="2" t="s">
        <v>3526</v>
      </c>
      <c r="C455" s="2" t="s">
        <v>3527</v>
      </c>
      <c r="D455" s="2" t="s">
        <v>3528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L455" s="2" t="s">
        <v>3529</v>
      </c>
      <c r="M455" s="3" t="s">
        <v>515</v>
      </c>
      <c r="O455" s="3" t="s">
        <v>64</v>
      </c>
      <c r="P455" s="3" t="s">
        <v>1355</v>
      </c>
      <c r="Q455" s="2" t="s">
        <v>3530</v>
      </c>
      <c r="R455" s="3" t="s">
        <v>1346</v>
      </c>
      <c r="S455" s="4">
        <v>7</v>
      </c>
      <c r="T455" s="4">
        <v>7</v>
      </c>
      <c r="U455" s="5" t="s">
        <v>3531</v>
      </c>
      <c r="V455" s="5" t="s">
        <v>3531</v>
      </c>
      <c r="W455" s="5" t="s">
        <v>3532</v>
      </c>
      <c r="X455" s="5" t="s">
        <v>3532</v>
      </c>
      <c r="Y455" s="4">
        <v>85</v>
      </c>
      <c r="Z455" s="4">
        <v>68</v>
      </c>
      <c r="AA455" s="4">
        <v>70</v>
      </c>
      <c r="AB455" s="4">
        <v>1</v>
      </c>
      <c r="AC455" s="4">
        <v>1</v>
      </c>
      <c r="AD455" s="4">
        <v>2</v>
      </c>
      <c r="AE455" s="4">
        <v>2</v>
      </c>
      <c r="AF455" s="4">
        <v>1</v>
      </c>
      <c r="AG455" s="4">
        <v>1</v>
      </c>
      <c r="AH455" s="4">
        <v>0</v>
      </c>
      <c r="AI455" s="4">
        <v>0</v>
      </c>
      <c r="AJ455" s="4">
        <v>1</v>
      </c>
      <c r="AK455" s="4">
        <v>1</v>
      </c>
      <c r="AL455" s="4">
        <v>0</v>
      </c>
      <c r="AM455" s="4">
        <v>0</v>
      </c>
      <c r="AN455" s="4">
        <v>0</v>
      </c>
      <c r="AO455" s="4">
        <v>0</v>
      </c>
      <c r="AP455" s="3" t="s">
        <v>58</v>
      </c>
      <c r="AQ455" s="3" t="s">
        <v>115</v>
      </c>
      <c r="AR455" s="6" t="str">
        <f>HYPERLINK("http://catalog.hathitrust.org/Record/000397165","HathiTrust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HYPERLINK("https://creighton-primo.hosted.exlibrisgroup.com/primo-explore/search?tab=default_tab&amp;search_scope=EVERYTHING&amp;vid=01CRU&amp;lang=en_US&amp;offset=0&amp;query=any,contains,991001250249702656","Catalog Record")</f>
        <v>Catalog Record</v>
      </c>
      <c r="AT455" s="6" t="str">
        <f>HYPERLINK("http://www.worldcat.org/oclc/13525370","WorldCat Record")</f>
        <v>WorldCat Record</v>
      </c>
    </row>
    <row r="456" spans="1:46" ht="40.5" customHeight="1" x14ac:dyDescent="0.25">
      <c r="A456" s="8" t="s">
        <v>58</v>
      </c>
      <c r="B456" s="2" t="s">
        <v>3533</v>
      </c>
      <c r="C456" s="2" t="s">
        <v>3534</v>
      </c>
      <c r="D456" s="2" t="s">
        <v>3535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L456" s="2" t="s">
        <v>3536</v>
      </c>
      <c r="M456" s="3" t="s">
        <v>1177</v>
      </c>
      <c r="O456" s="3" t="s">
        <v>64</v>
      </c>
      <c r="P456" s="3" t="s">
        <v>3537</v>
      </c>
      <c r="R456" s="3" t="s">
        <v>1346</v>
      </c>
      <c r="S456" s="4">
        <v>9</v>
      </c>
      <c r="T456" s="4">
        <v>9</v>
      </c>
      <c r="U456" s="5" t="s">
        <v>3538</v>
      </c>
      <c r="V456" s="5" t="s">
        <v>3538</v>
      </c>
      <c r="W456" s="5" t="s">
        <v>3539</v>
      </c>
      <c r="X456" s="5" t="s">
        <v>3539</v>
      </c>
      <c r="Y456" s="4">
        <v>82</v>
      </c>
      <c r="Z456" s="4">
        <v>53</v>
      </c>
      <c r="AA456" s="4">
        <v>55</v>
      </c>
      <c r="AB456" s="4">
        <v>1</v>
      </c>
      <c r="AC456" s="4">
        <v>1</v>
      </c>
      <c r="AD456" s="4">
        <v>2</v>
      </c>
      <c r="AE456" s="4">
        <v>2</v>
      </c>
      <c r="AF456" s="4">
        <v>1</v>
      </c>
      <c r="AG456" s="4">
        <v>1</v>
      </c>
      <c r="AH456" s="4">
        <v>1</v>
      </c>
      <c r="AI456" s="4">
        <v>1</v>
      </c>
      <c r="AJ456" s="4">
        <v>1</v>
      </c>
      <c r="AK456" s="4">
        <v>1</v>
      </c>
      <c r="AL456" s="4">
        <v>0</v>
      </c>
      <c r="AM456" s="4">
        <v>0</v>
      </c>
      <c r="AN456" s="4">
        <v>0</v>
      </c>
      <c r="AO456" s="4">
        <v>0</v>
      </c>
      <c r="AP456" s="3" t="s">
        <v>58</v>
      </c>
      <c r="AQ456" s="3" t="s">
        <v>115</v>
      </c>
      <c r="AR456" s="6" t="str">
        <f>HYPERLINK("http://catalog.hathitrust.org/Record/000857902","HathiTrust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HYPERLINK("https://creighton-primo.hosted.exlibrisgroup.com/primo-explore/search?tab=default_tab&amp;search_scope=EVERYTHING&amp;vid=01CRU&amp;lang=en_US&amp;offset=0&amp;query=any,contains,991001171289702656","Catalog Record")</f>
        <v>Catalog Record</v>
      </c>
      <c r="AT456" s="6" t="str">
        <f>HYPERLINK("http://www.worldcat.org/oclc/18780778","WorldCat Record")</f>
        <v>WorldCat Record</v>
      </c>
    </row>
    <row r="457" spans="1:46" ht="40.5" customHeight="1" x14ac:dyDescent="0.25">
      <c r="A457" s="8" t="s">
        <v>58</v>
      </c>
      <c r="B457" s="2" t="s">
        <v>3540</v>
      </c>
      <c r="C457" s="2" t="s">
        <v>3541</v>
      </c>
      <c r="D457" s="2" t="s">
        <v>3542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L457" s="2" t="s">
        <v>3284</v>
      </c>
      <c r="M457" s="3" t="s">
        <v>1122</v>
      </c>
      <c r="N457" s="2" t="s">
        <v>936</v>
      </c>
      <c r="O457" s="3" t="s">
        <v>64</v>
      </c>
      <c r="P457" s="3" t="s">
        <v>1355</v>
      </c>
      <c r="R457" s="3" t="s">
        <v>1346</v>
      </c>
      <c r="S457" s="4">
        <v>18</v>
      </c>
      <c r="T457" s="4">
        <v>18</v>
      </c>
      <c r="U457" s="5" t="s">
        <v>2573</v>
      </c>
      <c r="V457" s="5" t="s">
        <v>2573</v>
      </c>
      <c r="W457" s="5" t="s">
        <v>1812</v>
      </c>
      <c r="X457" s="5" t="s">
        <v>1812</v>
      </c>
      <c r="Y457" s="4">
        <v>162</v>
      </c>
      <c r="Z457" s="4">
        <v>108</v>
      </c>
      <c r="AA457" s="4">
        <v>234</v>
      </c>
      <c r="AB457" s="4">
        <v>1</v>
      </c>
      <c r="AC457" s="4">
        <v>2</v>
      </c>
      <c r="AD457" s="4">
        <v>2</v>
      </c>
      <c r="AE457" s="4">
        <v>8</v>
      </c>
      <c r="AF457" s="4">
        <v>2</v>
      </c>
      <c r="AG457" s="4">
        <v>4</v>
      </c>
      <c r="AH457" s="4">
        <v>0</v>
      </c>
      <c r="AI457" s="4">
        <v>3</v>
      </c>
      <c r="AJ457" s="4">
        <v>0</v>
      </c>
      <c r="AK457" s="4">
        <v>1</v>
      </c>
      <c r="AL457" s="4">
        <v>0</v>
      </c>
      <c r="AM457" s="4">
        <v>1</v>
      </c>
      <c r="AN457" s="4">
        <v>0</v>
      </c>
      <c r="AO457" s="4">
        <v>0</v>
      </c>
      <c r="AP457" s="3" t="s">
        <v>58</v>
      </c>
      <c r="AQ457" s="3" t="s">
        <v>115</v>
      </c>
      <c r="AR457" s="6" t="str">
        <f>HYPERLINK("http://catalog.hathitrust.org/Record/002208724","HathiTrust Record")</f>
        <v>HathiTrust Record</v>
      </c>
      <c r="AS457" s="6" t="str">
        <f>HYPERLINK("https://creighton-primo.hosted.exlibrisgroup.com/primo-explore/search?tab=default_tab&amp;search_scope=EVERYTHING&amp;vid=01CRU&amp;lang=en_US&amp;offset=0&amp;query=any,contains,991000821819702656","Catalog Record")</f>
        <v>Catalog Record</v>
      </c>
      <c r="AT457" s="6" t="str">
        <f>HYPERLINK("http://www.worldcat.org/oclc/21517357","WorldCat Record")</f>
        <v>WorldCat Record</v>
      </c>
    </row>
    <row r="458" spans="1:46" ht="40.5" customHeight="1" x14ac:dyDescent="0.25">
      <c r="A458" s="8" t="s">
        <v>58</v>
      </c>
      <c r="B458" s="2" t="s">
        <v>3543</v>
      </c>
      <c r="C458" s="2" t="s">
        <v>3544</v>
      </c>
      <c r="D458" s="2" t="s">
        <v>3545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3546</v>
      </c>
      <c r="L458" s="2" t="s">
        <v>3547</v>
      </c>
      <c r="M458" s="3" t="s">
        <v>424</v>
      </c>
      <c r="N458" s="2" t="s">
        <v>143</v>
      </c>
      <c r="O458" s="3" t="s">
        <v>64</v>
      </c>
      <c r="P458" s="3" t="s">
        <v>2755</v>
      </c>
      <c r="R458" s="3" t="s">
        <v>1346</v>
      </c>
      <c r="S458" s="4">
        <v>13</v>
      </c>
      <c r="T458" s="4">
        <v>13</v>
      </c>
      <c r="U458" s="5" t="s">
        <v>2573</v>
      </c>
      <c r="V458" s="5" t="s">
        <v>2573</v>
      </c>
      <c r="W458" s="5" t="s">
        <v>3548</v>
      </c>
      <c r="X458" s="5" t="s">
        <v>3548</v>
      </c>
      <c r="Y458" s="4">
        <v>54</v>
      </c>
      <c r="Z458" s="4">
        <v>33</v>
      </c>
      <c r="AA458" s="4">
        <v>69</v>
      </c>
      <c r="AB458" s="4">
        <v>1</v>
      </c>
      <c r="AC458" s="4">
        <v>1</v>
      </c>
      <c r="AD458" s="4">
        <v>0</v>
      </c>
      <c r="AE458" s="4">
        <v>1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1</v>
      </c>
      <c r="AL458" s="4">
        <v>0</v>
      </c>
      <c r="AM458" s="4">
        <v>0</v>
      </c>
      <c r="AN458" s="4">
        <v>0</v>
      </c>
      <c r="AO458" s="4">
        <v>0</v>
      </c>
      <c r="AP458" s="3" t="s">
        <v>58</v>
      </c>
      <c r="AQ458" s="3" t="s">
        <v>115</v>
      </c>
      <c r="AR458" s="6" t="str">
        <f>HYPERLINK("http://catalog.hathitrust.org/Record/002902453","HathiTrust Record")</f>
        <v>HathiTrust Record</v>
      </c>
      <c r="AS458" s="6" t="str">
        <f>HYPERLINK("https://creighton-primo.hosted.exlibrisgroup.com/primo-explore/search?tab=default_tab&amp;search_scope=EVERYTHING&amp;vid=01CRU&amp;lang=en_US&amp;offset=0&amp;query=any,contains,991001396469702656","Catalog Record")</f>
        <v>Catalog Record</v>
      </c>
      <c r="AT458" s="6" t="str">
        <f>HYPERLINK("http://www.worldcat.org/oclc/30915924","WorldCat Record")</f>
        <v>WorldCat Record</v>
      </c>
    </row>
    <row r="459" spans="1:46" ht="40.5" customHeight="1" x14ac:dyDescent="0.25">
      <c r="A459" s="8" t="s">
        <v>58</v>
      </c>
      <c r="B459" s="2" t="s">
        <v>3549</v>
      </c>
      <c r="C459" s="2" t="s">
        <v>3550</v>
      </c>
      <c r="D459" s="2" t="s">
        <v>3551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L459" s="2" t="s">
        <v>3552</v>
      </c>
      <c r="M459" s="3" t="s">
        <v>1511</v>
      </c>
      <c r="O459" s="3" t="s">
        <v>64</v>
      </c>
      <c r="P459" s="3" t="s">
        <v>1512</v>
      </c>
      <c r="Q459" s="2" t="s">
        <v>3553</v>
      </c>
      <c r="R459" s="3" t="s">
        <v>1346</v>
      </c>
      <c r="S459" s="4">
        <v>6</v>
      </c>
      <c r="T459" s="4">
        <v>6</v>
      </c>
      <c r="U459" s="5" t="s">
        <v>3554</v>
      </c>
      <c r="V459" s="5" t="s">
        <v>3554</v>
      </c>
      <c r="W459" s="5" t="s">
        <v>3555</v>
      </c>
      <c r="X459" s="5" t="s">
        <v>3555</v>
      </c>
      <c r="Y459" s="4">
        <v>17</v>
      </c>
      <c r="Z459" s="4">
        <v>10</v>
      </c>
      <c r="AA459" s="4">
        <v>24</v>
      </c>
      <c r="AB459" s="4">
        <v>1</v>
      </c>
      <c r="AC459" s="4">
        <v>1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3" t="s">
        <v>58</v>
      </c>
      <c r="AQ459" s="3" t="s">
        <v>58</v>
      </c>
      <c r="AS459" s="6" t="str">
        <f>HYPERLINK("https://creighton-primo.hosted.exlibrisgroup.com/primo-explore/search?tab=default_tab&amp;search_scope=EVERYTHING&amp;vid=01CRU&amp;lang=en_US&amp;offset=0&amp;query=any,contains,991000823169702656","Catalog Record")</f>
        <v>Catalog Record</v>
      </c>
      <c r="AT459" s="6" t="str">
        <f>HYPERLINK("http://www.worldcat.org/oclc/24378730","WorldCat Record")</f>
        <v>WorldCat Record</v>
      </c>
    </row>
    <row r="460" spans="1:46" ht="40.5" customHeight="1" x14ac:dyDescent="0.25">
      <c r="A460" s="8" t="s">
        <v>58</v>
      </c>
      <c r="B460" s="2" t="s">
        <v>3556</v>
      </c>
      <c r="C460" s="2" t="s">
        <v>3557</v>
      </c>
      <c r="D460" s="2" t="s">
        <v>3558</v>
      </c>
      <c r="F460" s="3" t="s">
        <v>58</v>
      </c>
      <c r="G460" s="3" t="s">
        <v>59</v>
      </c>
      <c r="H460" s="3" t="s">
        <v>58</v>
      </c>
      <c r="I460" s="3" t="s">
        <v>115</v>
      </c>
      <c r="J460" s="3" t="s">
        <v>59</v>
      </c>
      <c r="L460" s="2" t="s">
        <v>3559</v>
      </c>
      <c r="M460" s="3" t="s">
        <v>142</v>
      </c>
      <c r="N460" s="2" t="s">
        <v>936</v>
      </c>
      <c r="O460" s="3" t="s">
        <v>64</v>
      </c>
      <c r="P460" s="3" t="s">
        <v>144</v>
      </c>
      <c r="R460" s="3" t="s">
        <v>1346</v>
      </c>
      <c r="S460" s="4">
        <v>18</v>
      </c>
      <c r="T460" s="4">
        <v>18</v>
      </c>
      <c r="U460" s="5" t="s">
        <v>3560</v>
      </c>
      <c r="V460" s="5" t="s">
        <v>3560</v>
      </c>
      <c r="W460" s="5" t="s">
        <v>1812</v>
      </c>
      <c r="X460" s="5" t="s">
        <v>1812</v>
      </c>
      <c r="Y460" s="4">
        <v>153</v>
      </c>
      <c r="Z460" s="4">
        <v>88</v>
      </c>
      <c r="AA460" s="4">
        <v>508</v>
      </c>
      <c r="AB460" s="4">
        <v>1</v>
      </c>
      <c r="AC460" s="4">
        <v>1</v>
      </c>
      <c r="AD460" s="4">
        <v>0</v>
      </c>
      <c r="AE460" s="4">
        <v>13</v>
      </c>
      <c r="AF460" s="4">
        <v>0</v>
      </c>
      <c r="AG460" s="4">
        <v>5</v>
      </c>
      <c r="AH460" s="4">
        <v>0</v>
      </c>
      <c r="AI460" s="4">
        <v>5</v>
      </c>
      <c r="AJ460" s="4">
        <v>0</v>
      </c>
      <c r="AK460" s="4">
        <v>6</v>
      </c>
      <c r="AL460" s="4">
        <v>0</v>
      </c>
      <c r="AM460" s="4">
        <v>0</v>
      </c>
      <c r="AN460" s="4">
        <v>0</v>
      </c>
      <c r="AO460" s="4">
        <v>0</v>
      </c>
      <c r="AP460" s="3" t="s">
        <v>58</v>
      </c>
      <c r="AQ460" s="3" t="s">
        <v>115</v>
      </c>
      <c r="AR460" s="6" t="str">
        <f>HYPERLINK("http://catalog.hathitrust.org/Record/002500874","HathiTrust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HYPERLINK("https://creighton-primo.hosted.exlibrisgroup.com/primo-explore/search?tab=default_tab&amp;search_scope=EVERYTHING&amp;vid=01CRU&amp;lang=en_US&amp;offset=0&amp;query=any,contains,991000821199702656","Catalog Record")</f>
        <v>Catalog Record</v>
      </c>
      <c r="AT460" s="6" t="str">
        <f>HYPERLINK("http://www.worldcat.org/oclc/22307253","WorldCat Record")</f>
        <v>WorldCat Record</v>
      </c>
    </row>
    <row r="461" spans="1:46" ht="40.5" customHeight="1" x14ac:dyDescent="0.25">
      <c r="A461" s="8" t="s">
        <v>58</v>
      </c>
      <c r="B461" s="2" t="s">
        <v>3561</v>
      </c>
      <c r="C461" s="2" t="s">
        <v>3562</v>
      </c>
      <c r="D461" s="2" t="s">
        <v>3563</v>
      </c>
      <c r="F461" s="3" t="s">
        <v>58</v>
      </c>
      <c r="G461" s="3" t="s">
        <v>59</v>
      </c>
      <c r="H461" s="3" t="s">
        <v>58</v>
      </c>
      <c r="I461" s="3" t="s">
        <v>115</v>
      </c>
      <c r="J461" s="3" t="s">
        <v>59</v>
      </c>
      <c r="L461" s="2" t="s">
        <v>3564</v>
      </c>
      <c r="M461" s="3" t="s">
        <v>95</v>
      </c>
      <c r="N461" s="2" t="s">
        <v>1362</v>
      </c>
      <c r="O461" s="3" t="s">
        <v>64</v>
      </c>
      <c r="P461" s="3" t="s">
        <v>144</v>
      </c>
      <c r="R461" s="3" t="s">
        <v>1346</v>
      </c>
      <c r="S461" s="4">
        <v>3</v>
      </c>
      <c r="T461" s="4">
        <v>3</v>
      </c>
      <c r="U461" s="5" t="s">
        <v>3565</v>
      </c>
      <c r="V461" s="5" t="s">
        <v>3565</v>
      </c>
      <c r="W461" s="5" t="s">
        <v>3566</v>
      </c>
      <c r="X461" s="5" t="s">
        <v>3566</v>
      </c>
      <c r="Y461" s="4">
        <v>133</v>
      </c>
      <c r="Z461" s="4">
        <v>81</v>
      </c>
      <c r="AA461" s="4">
        <v>508</v>
      </c>
      <c r="AB461" s="4">
        <v>1</v>
      </c>
      <c r="AC461" s="4">
        <v>1</v>
      </c>
      <c r="AD461" s="4">
        <v>1</v>
      </c>
      <c r="AE461" s="4">
        <v>13</v>
      </c>
      <c r="AF461" s="4">
        <v>1</v>
      </c>
      <c r="AG461" s="4">
        <v>5</v>
      </c>
      <c r="AH461" s="4">
        <v>0</v>
      </c>
      <c r="AI461" s="4">
        <v>5</v>
      </c>
      <c r="AJ461" s="4">
        <v>0</v>
      </c>
      <c r="AK461" s="4">
        <v>6</v>
      </c>
      <c r="AL461" s="4">
        <v>0</v>
      </c>
      <c r="AM461" s="4">
        <v>0</v>
      </c>
      <c r="AN461" s="4">
        <v>0</v>
      </c>
      <c r="AO461" s="4">
        <v>0</v>
      </c>
      <c r="AP461" s="3" t="s">
        <v>58</v>
      </c>
      <c r="AQ461" s="3" t="s">
        <v>115</v>
      </c>
      <c r="AR461" s="6" t="str">
        <f>HYPERLINK("http://catalog.hathitrust.org/Record/003567630","HathiTrust Record")</f>
        <v>HathiTrust Record</v>
      </c>
      <c r="AS461" s="6" t="str">
        <f>HYPERLINK("https://creighton-primo.hosted.exlibrisgroup.com/primo-explore/search?tab=default_tab&amp;search_scope=EVERYTHING&amp;vid=01CRU&amp;lang=en_US&amp;offset=0&amp;query=any,contains,991000333809702656","Catalog Record")</f>
        <v>Catalog Record</v>
      </c>
      <c r="AT461" s="6" t="str">
        <f>HYPERLINK("http://www.worldcat.org/oclc/44626891","WorldCat Record")</f>
        <v>WorldCat Record</v>
      </c>
    </row>
    <row r="462" spans="1:46" ht="40.5" customHeight="1" x14ac:dyDescent="0.25">
      <c r="A462" s="8" t="s">
        <v>58</v>
      </c>
      <c r="B462" s="2" t="s">
        <v>3567</v>
      </c>
      <c r="C462" s="2" t="s">
        <v>3568</v>
      </c>
      <c r="D462" s="2" t="s">
        <v>3569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L462" s="2" t="s">
        <v>3570</v>
      </c>
      <c r="M462" s="3" t="s">
        <v>1414</v>
      </c>
      <c r="O462" s="3" t="s">
        <v>64</v>
      </c>
      <c r="P462" s="3" t="s">
        <v>1512</v>
      </c>
      <c r="Q462" s="2" t="s">
        <v>3571</v>
      </c>
      <c r="R462" s="3" t="s">
        <v>1346</v>
      </c>
      <c r="S462" s="4">
        <v>9</v>
      </c>
      <c r="T462" s="4">
        <v>9</v>
      </c>
      <c r="U462" s="5" t="s">
        <v>2573</v>
      </c>
      <c r="V462" s="5" t="s">
        <v>2573</v>
      </c>
      <c r="W462" s="5" t="s">
        <v>2918</v>
      </c>
      <c r="X462" s="5" t="s">
        <v>2918</v>
      </c>
      <c r="Y462" s="4">
        <v>123</v>
      </c>
      <c r="Z462" s="4">
        <v>78</v>
      </c>
      <c r="AA462" s="4">
        <v>108</v>
      </c>
      <c r="AB462" s="4">
        <v>1</v>
      </c>
      <c r="AC462" s="4">
        <v>1</v>
      </c>
      <c r="AD462" s="4">
        <v>1</v>
      </c>
      <c r="AE462" s="4">
        <v>3</v>
      </c>
      <c r="AF462" s="4">
        <v>0</v>
      </c>
      <c r="AG462" s="4">
        <v>1</v>
      </c>
      <c r="AH462" s="4">
        <v>1</v>
      </c>
      <c r="AI462" s="4">
        <v>2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3" t="s">
        <v>58</v>
      </c>
      <c r="AQ462" s="3" t="s">
        <v>115</v>
      </c>
      <c r="AR462" s="6" t="str">
        <f>HYPERLINK("http://catalog.hathitrust.org/Record/000946349","HathiTrust Record")</f>
        <v>HathiTrust Record</v>
      </c>
      <c r="AS462" s="6" t="str">
        <f>HYPERLINK("https://creighton-primo.hosted.exlibrisgroup.com/primo-explore/search?tab=default_tab&amp;search_scope=EVERYTHING&amp;vid=01CRU&amp;lang=en_US&amp;offset=0&amp;query=any,contains,991000959529702656","Catalog Record")</f>
        <v>Catalog Record</v>
      </c>
      <c r="AT462" s="6" t="str">
        <f>HYPERLINK("http://www.worldcat.org/oclc/10574784","WorldCat Record")</f>
        <v>WorldCat Record</v>
      </c>
    </row>
    <row r="463" spans="1:46" ht="40.5" customHeight="1" x14ac:dyDescent="0.25">
      <c r="A463" s="8" t="s">
        <v>58</v>
      </c>
      <c r="B463" s="2" t="s">
        <v>3572</v>
      </c>
      <c r="C463" s="2" t="s">
        <v>3573</v>
      </c>
      <c r="D463" s="2" t="s">
        <v>3574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L463" s="2" t="s">
        <v>3575</v>
      </c>
      <c r="M463" s="3" t="s">
        <v>142</v>
      </c>
      <c r="O463" s="3" t="s">
        <v>64</v>
      </c>
      <c r="P463" s="3" t="s">
        <v>613</v>
      </c>
      <c r="R463" s="3" t="s">
        <v>1346</v>
      </c>
      <c r="S463" s="4">
        <v>2</v>
      </c>
      <c r="T463" s="4">
        <v>2</v>
      </c>
      <c r="U463" s="5" t="s">
        <v>2973</v>
      </c>
      <c r="V463" s="5" t="s">
        <v>2973</v>
      </c>
      <c r="W463" s="5" t="s">
        <v>2973</v>
      </c>
      <c r="X463" s="5" t="s">
        <v>2973</v>
      </c>
      <c r="Y463" s="4">
        <v>86</v>
      </c>
      <c r="Z463" s="4">
        <v>68</v>
      </c>
      <c r="AA463" s="4">
        <v>91</v>
      </c>
      <c r="AB463" s="4">
        <v>1</v>
      </c>
      <c r="AC463" s="4">
        <v>1</v>
      </c>
      <c r="AD463" s="4">
        <v>3</v>
      </c>
      <c r="AE463" s="4">
        <v>3</v>
      </c>
      <c r="AF463" s="4">
        <v>0</v>
      </c>
      <c r="AG463" s="4">
        <v>0</v>
      </c>
      <c r="AH463" s="4">
        <v>1</v>
      </c>
      <c r="AI463" s="4">
        <v>1</v>
      </c>
      <c r="AJ463" s="4">
        <v>2</v>
      </c>
      <c r="AK463" s="4">
        <v>2</v>
      </c>
      <c r="AL463" s="4">
        <v>0</v>
      </c>
      <c r="AM463" s="4">
        <v>0</v>
      </c>
      <c r="AN463" s="4">
        <v>0</v>
      </c>
      <c r="AO463" s="4">
        <v>0</v>
      </c>
      <c r="AP463" s="3" t="s">
        <v>58</v>
      </c>
      <c r="AQ463" s="3" t="s">
        <v>58</v>
      </c>
      <c r="AS463" s="6" t="str">
        <f>HYPERLINK("https://creighton-primo.hosted.exlibrisgroup.com/primo-explore/search?tab=default_tab&amp;search_scope=EVERYTHING&amp;vid=01CRU&amp;lang=en_US&amp;offset=0&amp;query=any,contains,991001022569702656","Catalog Record")</f>
        <v>Catalog Record</v>
      </c>
      <c r="AT463" s="6" t="str">
        <f>HYPERLINK("http://www.worldcat.org/oclc/23287756","WorldCat Record")</f>
        <v>WorldCat Record</v>
      </c>
    </row>
    <row r="464" spans="1:46" ht="40.5" customHeight="1" x14ac:dyDescent="0.25">
      <c r="A464" s="8" t="s">
        <v>58</v>
      </c>
      <c r="B464" s="2" t="s">
        <v>3576</v>
      </c>
      <c r="C464" s="2" t="s">
        <v>3577</v>
      </c>
      <c r="D464" s="2" t="s">
        <v>3578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L464" s="2" t="s">
        <v>3579</v>
      </c>
      <c r="M464" s="3" t="s">
        <v>3314</v>
      </c>
      <c r="N464" s="2" t="s">
        <v>834</v>
      </c>
      <c r="O464" s="3" t="s">
        <v>64</v>
      </c>
      <c r="P464" s="3" t="s">
        <v>190</v>
      </c>
      <c r="R464" s="3" t="s">
        <v>1346</v>
      </c>
      <c r="S464" s="4">
        <v>1</v>
      </c>
      <c r="T464" s="4">
        <v>1</v>
      </c>
      <c r="U464" s="5" t="s">
        <v>3580</v>
      </c>
      <c r="V464" s="5" t="s">
        <v>3580</v>
      </c>
      <c r="W464" s="5" t="s">
        <v>3581</v>
      </c>
      <c r="X464" s="5" t="s">
        <v>3581</v>
      </c>
      <c r="Y464" s="4">
        <v>388</v>
      </c>
      <c r="Z464" s="4">
        <v>333</v>
      </c>
      <c r="AA464" s="4">
        <v>340</v>
      </c>
      <c r="AB464" s="4">
        <v>5</v>
      </c>
      <c r="AC464" s="4">
        <v>5</v>
      </c>
      <c r="AD464" s="4">
        <v>20</v>
      </c>
      <c r="AE464" s="4">
        <v>20</v>
      </c>
      <c r="AF464" s="4">
        <v>3</v>
      </c>
      <c r="AG464" s="4">
        <v>3</v>
      </c>
      <c r="AH464" s="4">
        <v>2</v>
      </c>
      <c r="AI464" s="4">
        <v>2</v>
      </c>
      <c r="AJ464" s="4">
        <v>14</v>
      </c>
      <c r="AK464" s="4">
        <v>14</v>
      </c>
      <c r="AL464" s="4">
        <v>4</v>
      </c>
      <c r="AM464" s="4">
        <v>4</v>
      </c>
      <c r="AN464" s="4">
        <v>0</v>
      </c>
      <c r="AO464" s="4">
        <v>0</v>
      </c>
      <c r="AP464" s="3" t="s">
        <v>58</v>
      </c>
      <c r="AQ464" s="3" t="s">
        <v>115</v>
      </c>
      <c r="AR464" s="6" t="str">
        <f>HYPERLINK("http://catalog.hathitrust.org/Record/001573870","HathiTrust Record")</f>
        <v>HathiTrust Record</v>
      </c>
      <c r="AS464" s="6" t="str">
        <f>HYPERLINK("https://creighton-primo.hosted.exlibrisgroup.com/primo-explore/search?tab=default_tab&amp;search_scope=EVERYTHING&amp;vid=01CRU&amp;lang=en_US&amp;offset=0&amp;query=any,contains,991000959579702656","Catalog Record")</f>
        <v>Catalog Record</v>
      </c>
      <c r="AT464" s="6" t="str">
        <f>HYPERLINK("http://www.worldcat.org/oclc/1200431","WorldCat Record")</f>
        <v>WorldCat Record</v>
      </c>
    </row>
    <row r="465" spans="1:46" ht="40.5" customHeight="1" x14ac:dyDescent="0.25">
      <c r="A465" s="8" t="s">
        <v>58</v>
      </c>
      <c r="B465" s="2" t="s">
        <v>3582</v>
      </c>
      <c r="C465" s="2" t="s">
        <v>3583</v>
      </c>
      <c r="D465" s="2" t="s">
        <v>3584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60</v>
      </c>
      <c r="K465" s="2" t="s">
        <v>3585</v>
      </c>
      <c r="L465" s="2" t="s">
        <v>3586</v>
      </c>
      <c r="M465" s="3" t="s">
        <v>290</v>
      </c>
      <c r="O465" s="3" t="s">
        <v>64</v>
      </c>
      <c r="P465" s="3" t="s">
        <v>1355</v>
      </c>
      <c r="Q465" s="2" t="s">
        <v>3587</v>
      </c>
      <c r="R465" s="3" t="s">
        <v>1346</v>
      </c>
      <c r="S465" s="4">
        <v>6</v>
      </c>
      <c r="T465" s="4">
        <v>6</v>
      </c>
      <c r="U465" s="5" t="s">
        <v>2573</v>
      </c>
      <c r="V465" s="5" t="s">
        <v>2573</v>
      </c>
      <c r="W465" s="5" t="s">
        <v>3588</v>
      </c>
      <c r="X465" s="5" t="s">
        <v>3588</v>
      </c>
      <c r="Y465" s="4">
        <v>70</v>
      </c>
      <c r="Z465" s="4">
        <v>56</v>
      </c>
      <c r="AA465" s="4">
        <v>80</v>
      </c>
      <c r="AB465" s="4">
        <v>1</v>
      </c>
      <c r="AC465" s="4">
        <v>1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3" t="s">
        <v>58</v>
      </c>
      <c r="AQ465" s="3" t="s">
        <v>115</v>
      </c>
      <c r="AR465" s="6" t="str">
        <f>HYPERLINK("http://catalog.hathitrust.org/Record/000905966","HathiTrust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HYPERLINK("https://creighton-primo.hosted.exlibrisgroup.com/primo-explore/search?tab=default_tab&amp;search_scope=EVERYTHING&amp;vid=01CRU&amp;lang=en_US&amp;offset=0&amp;query=any,contains,991001310659702656","Catalog Record")</f>
        <v>Catalog Record</v>
      </c>
      <c r="AT465" s="6" t="str">
        <f>HYPERLINK("http://www.worldcat.org/oclc/15428959","WorldCat Record")</f>
        <v>WorldCat Record</v>
      </c>
    </row>
    <row r="466" spans="1:46" ht="40.5" customHeight="1" x14ac:dyDescent="0.25">
      <c r="A466" s="8" t="s">
        <v>58</v>
      </c>
      <c r="B466" s="2" t="s">
        <v>3589</v>
      </c>
      <c r="C466" s="2" t="s">
        <v>3590</v>
      </c>
      <c r="D466" s="2" t="s">
        <v>3591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K466" s="2" t="s">
        <v>3592</v>
      </c>
      <c r="L466" s="2" t="s">
        <v>3575</v>
      </c>
      <c r="M466" s="3" t="s">
        <v>142</v>
      </c>
      <c r="O466" s="3" t="s">
        <v>64</v>
      </c>
      <c r="P466" s="3" t="s">
        <v>613</v>
      </c>
      <c r="R466" s="3" t="s">
        <v>1346</v>
      </c>
      <c r="S466" s="4">
        <v>11</v>
      </c>
      <c r="T466" s="4">
        <v>11</v>
      </c>
      <c r="U466" s="5" t="s">
        <v>3593</v>
      </c>
      <c r="V466" s="5" t="s">
        <v>3593</v>
      </c>
      <c r="W466" s="5" t="s">
        <v>3594</v>
      </c>
      <c r="X466" s="5" t="s">
        <v>3594</v>
      </c>
      <c r="Y466" s="4">
        <v>55</v>
      </c>
      <c r="Z466" s="4">
        <v>41</v>
      </c>
      <c r="AA466" s="4">
        <v>41</v>
      </c>
      <c r="AB466" s="4">
        <v>1</v>
      </c>
      <c r="AC466" s="4">
        <v>1</v>
      </c>
      <c r="AD466" s="4">
        <v>2</v>
      </c>
      <c r="AE466" s="4">
        <v>2</v>
      </c>
      <c r="AF466" s="4">
        <v>1</v>
      </c>
      <c r="AG466" s="4">
        <v>1</v>
      </c>
      <c r="AH466" s="4">
        <v>1</v>
      </c>
      <c r="AI466" s="4">
        <v>1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3" t="s">
        <v>58</v>
      </c>
      <c r="AQ466" s="3" t="s">
        <v>58</v>
      </c>
      <c r="AS466" s="6" t="str">
        <f>HYPERLINK("https://creighton-primo.hosted.exlibrisgroup.com/primo-explore/search?tab=default_tab&amp;search_scope=EVERYTHING&amp;vid=01CRU&amp;lang=en_US&amp;offset=0&amp;query=any,contains,991000818639702656","Catalog Record")</f>
        <v>Catalog Record</v>
      </c>
      <c r="AT466" s="6" t="str">
        <f>HYPERLINK("http://www.worldcat.org/oclc/22314236","WorldCat Record")</f>
        <v>WorldCat Record</v>
      </c>
    </row>
    <row r="467" spans="1:46" ht="40.5" customHeight="1" x14ac:dyDescent="0.25">
      <c r="A467" s="8" t="s">
        <v>58</v>
      </c>
      <c r="B467" s="2" t="s">
        <v>3595</v>
      </c>
      <c r="C467" s="2" t="s">
        <v>3596</v>
      </c>
      <c r="D467" s="2" t="s">
        <v>3597</v>
      </c>
      <c r="F467" s="3" t="s">
        <v>115</v>
      </c>
      <c r="G467" s="3" t="s">
        <v>59</v>
      </c>
      <c r="H467" s="3" t="s">
        <v>115</v>
      </c>
      <c r="I467" s="3" t="s">
        <v>58</v>
      </c>
      <c r="J467" s="3" t="s">
        <v>60</v>
      </c>
      <c r="L467" s="2" t="s">
        <v>3598</v>
      </c>
      <c r="M467" s="3" t="s">
        <v>336</v>
      </c>
      <c r="O467" s="3" t="s">
        <v>64</v>
      </c>
      <c r="P467" s="3" t="s">
        <v>585</v>
      </c>
      <c r="Q467" s="2" t="s">
        <v>3599</v>
      </c>
      <c r="R467" s="3" t="s">
        <v>1346</v>
      </c>
      <c r="S467" s="4">
        <v>2</v>
      </c>
      <c r="T467" s="4">
        <v>5</v>
      </c>
      <c r="U467" s="5" t="s">
        <v>3600</v>
      </c>
      <c r="V467" s="5" t="s">
        <v>3600</v>
      </c>
      <c r="W467" s="5" t="s">
        <v>2918</v>
      </c>
      <c r="X467" s="5" t="s">
        <v>2918</v>
      </c>
      <c r="Y467" s="4">
        <v>149</v>
      </c>
      <c r="Z467" s="4">
        <v>103</v>
      </c>
      <c r="AA467" s="4">
        <v>105</v>
      </c>
      <c r="AB467" s="4">
        <v>1</v>
      </c>
      <c r="AC467" s="4">
        <v>1</v>
      </c>
      <c r="AD467" s="4">
        <v>2</v>
      </c>
      <c r="AE467" s="4">
        <v>2</v>
      </c>
      <c r="AF467" s="4">
        <v>0</v>
      </c>
      <c r="AG467" s="4">
        <v>0</v>
      </c>
      <c r="AH467" s="4">
        <v>2</v>
      </c>
      <c r="AI467" s="4">
        <v>2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3" t="s">
        <v>58</v>
      </c>
      <c r="AQ467" s="3" t="s">
        <v>115</v>
      </c>
      <c r="AR467" s="6" t="str">
        <f>HYPERLINK("http://catalog.hathitrust.org/Record/000225323","HathiTrust Record")</f>
        <v>HathiTrust Record</v>
      </c>
      <c r="AS467" s="6" t="str">
        <f>HYPERLINK("https://creighton-primo.hosted.exlibrisgroup.com/primo-explore/search?tab=default_tab&amp;search_scope=EVERYTHING&amp;vid=01CRU&amp;lang=en_US&amp;offset=0&amp;query=any,contains,991000960099702656","Catalog Record")</f>
        <v>Catalog Record</v>
      </c>
      <c r="AT467" s="6" t="str">
        <f>HYPERLINK("http://www.worldcat.org/oclc/7957792","WorldCat Record")</f>
        <v>WorldCat Record</v>
      </c>
    </row>
    <row r="468" spans="1:46" ht="40.5" customHeight="1" x14ac:dyDescent="0.25">
      <c r="A468" s="8" t="s">
        <v>58</v>
      </c>
      <c r="B468" s="2" t="s">
        <v>3601</v>
      </c>
      <c r="C468" s="2" t="s">
        <v>3602</v>
      </c>
      <c r="D468" s="2" t="s">
        <v>3597</v>
      </c>
      <c r="E468" s="3" t="s">
        <v>2310</v>
      </c>
      <c r="F468" s="3" t="s">
        <v>115</v>
      </c>
      <c r="G468" s="3" t="s">
        <v>59</v>
      </c>
      <c r="H468" s="3" t="s">
        <v>58</v>
      </c>
      <c r="I468" s="3" t="s">
        <v>58</v>
      </c>
      <c r="J468" s="3" t="s">
        <v>60</v>
      </c>
      <c r="L468" s="2" t="s">
        <v>3598</v>
      </c>
      <c r="M468" s="3" t="s">
        <v>336</v>
      </c>
      <c r="O468" s="3" t="s">
        <v>64</v>
      </c>
      <c r="P468" s="3" t="s">
        <v>585</v>
      </c>
      <c r="Q468" s="2" t="s">
        <v>3599</v>
      </c>
      <c r="R468" s="3" t="s">
        <v>1346</v>
      </c>
      <c r="S468" s="4">
        <v>3</v>
      </c>
      <c r="T468" s="4">
        <v>5</v>
      </c>
      <c r="U468" s="5" t="s">
        <v>3603</v>
      </c>
      <c r="V468" s="5" t="s">
        <v>3600</v>
      </c>
      <c r="W468" s="5" t="s">
        <v>2918</v>
      </c>
      <c r="X468" s="5" t="s">
        <v>2918</v>
      </c>
      <c r="Y468" s="4">
        <v>149</v>
      </c>
      <c r="Z468" s="4">
        <v>103</v>
      </c>
      <c r="AA468" s="4">
        <v>105</v>
      </c>
      <c r="AB468" s="4">
        <v>1</v>
      </c>
      <c r="AC468" s="4">
        <v>1</v>
      </c>
      <c r="AD468" s="4">
        <v>2</v>
      </c>
      <c r="AE468" s="4">
        <v>2</v>
      </c>
      <c r="AF468" s="4">
        <v>0</v>
      </c>
      <c r="AG468" s="4">
        <v>0</v>
      </c>
      <c r="AH468" s="4">
        <v>2</v>
      </c>
      <c r="AI468" s="4">
        <v>2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3" t="s">
        <v>58</v>
      </c>
      <c r="AQ468" s="3" t="s">
        <v>115</v>
      </c>
      <c r="AR468" s="6" t="str">
        <f>HYPERLINK("http://catalog.hathitrust.org/Record/000225323","HathiTrust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HYPERLINK("https://creighton-primo.hosted.exlibrisgroup.com/primo-explore/search?tab=default_tab&amp;search_scope=EVERYTHING&amp;vid=01CRU&amp;lang=en_US&amp;offset=0&amp;query=any,contains,991000960099702656","Catalog Record")</f>
        <v>Catalog Record</v>
      </c>
      <c r="AT468" s="6" t="str">
        <f>HYPERLINK("http://www.worldcat.org/oclc/7957792","WorldCat Record")</f>
        <v>WorldCat Record</v>
      </c>
    </row>
    <row r="469" spans="1:46" ht="40.5" customHeight="1" x14ac:dyDescent="0.25">
      <c r="A469" s="8" t="s">
        <v>58</v>
      </c>
      <c r="B469" s="2" t="s">
        <v>3604</v>
      </c>
      <c r="C469" s="2" t="s">
        <v>3605</v>
      </c>
      <c r="D469" s="2" t="s">
        <v>3606</v>
      </c>
      <c r="F469" s="3" t="s">
        <v>58</v>
      </c>
      <c r="G469" s="3" t="s">
        <v>59</v>
      </c>
      <c r="H469" s="3" t="s">
        <v>58</v>
      </c>
      <c r="I469" s="3" t="s">
        <v>58</v>
      </c>
      <c r="J469" s="3" t="s">
        <v>60</v>
      </c>
      <c r="K469" s="2" t="s">
        <v>3607</v>
      </c>
      <c r="L469" s="2" t="s">
        <v>3608</v>
      </c>
      <c r="M469" s="3" t="s">
        <v>142</v>
      </c>
      <c r="O469" s="3" t="s">
        <v>64</v>
      </c>
      <c r="P469" s="3" t="s">
        <v>190</v>
      </c>
      <c r="R469" s="3" t="s">
        <v>1346</v>
      </c>
      <c r="S469" s="4">
        <v>6</v>
      </c>
      <c r="T469" s="4">
        <v>6</v>
      </c>
      <c r="U469" s="5" t="s">
        <v>3609</v>
      </c>
      <c r="V469" s="5" t="s">
        <v>3609</v>
      </c>
      <c r="W469" s="5" t="s">
        <v>3610</v>
      </c>
      <c r="X469" s="5" t="s">
        <v>3610</v>
      </c>
      <c r="Y469" s="4">
        <v>115</v>
      </c>
      <c r="Z469" s="4">
        <v>96</v>
      </c>
      <c r="AA469" s="4">
        <v>505</v>
      </c>
      <c r="AB469" s="4">
        <v>1</v>
      </c>
      <c r="AC469" s="4">
        <v>4</v>
      </c>
      <c r="AD469" s="4">
        <v>1</v>
      </c>
      <c r="AE469" s="4">
        <v>6</v>
      </c>
      <c r="AF469" s="4">
        <v>0</v>
      </c>
      <c r="AG469" s="4">
        <v>2</v>
      </c>
      <c r="AH469" s="4">
        <v>1</v>
      </c>
      <c r="AI469" s="4">
        <v>1</v>
      </c>
      <c r="AJ469" s="4">
        <v>0</v>
      </c>
      <c r="AK469" s="4">
        <v>1</v>
      </c>
      <c r="AL469" s="4">
        <v>0</v>
      </c>
      <c r="AM469" s="4">
        <v>3</v>
      </c>
      <c r="AN469" s="4">
        <v>0</v>
      </c>
      <c r="AO469" s="4">
        <v>0</v>
      </c>
      <c r="AP469" s="3" t="s">
        <v>58</v>
      </c>
      <c r="AQ469" s="3" t="s">
        <v>115</v>
      </c>
      <c r="AR469" s="6" t="str">
        <f>HYPERLINK("http://catalog.hathitrust.org/Record/002559428","HathiTrust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HYPERLINK("https://creighton-primo.hosted.exlibrisgroup.com/primo-explore/search?tab=default_tab&amp;search_scope=EVERYTHING&amp;vid=01CRU&amp;lang=en_US&amp;offset=0&amp;query=any,contains,991001025579702656","Catalog Record")</f>
        <v>Catalog Record</v>
      </c>
      <c r="AT469" s="6" t="str">
        <f>HYPERLINK("http://www.worldcat.org/oclc/24808026","WorldCat Record")</f>
        <v>WorldCat Record</v>
      </c>
    </row>
    <row r="470" spans="1:46" ht="40.5" customHeight="1" x14ac:dyDescent="0.25">
      <c r="A470" s="8" t="s">
        <v>58</v>
      </c>
      <c r="B470" s="2" t="s">
        <v>3611</v>
      </c>
      <c r="C470" s="2" t="s">
        <v>3612</v>
      </c>
      <c r="D470" s="2" t="s">
        <v>3613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K470" s="2" t="s">
        <v>3614</v>
      </c>
      <c r="L470" s="2" t="s">
        <v>3615</v>
      </c>
      <c r="M470" s="3" t="s">
        <v>642</v>
      </c>
      <c r="O470" s="3" t="s">
        <v>64</v>
      </c>
      <c r="P470" s="3" t="s">
        <v>65</v>
      </c>
      <c r="R470" s="3" t="s">
        <v>1346</v>
      </c>
      <c r="S470" s="4">
        <v>1</v>
      </c>
      <c r="T470" s="4">
        <v>1</v>
      </c>
      <c r="U470" s="5" t="s">
        <v>3616</v>
      </c>
      <c r="V470" s="5" t="s">
        <v>3616</v>
      </c>
      <c r="W470" s="5" t="s">
        <v>2286</v>
      </c>
      <c r="X470" s="5" t="s">
        <v>2286</v>
      </c>
      <c r="Y470" s="4">
        <v>335</v>
      </c>
      <c r="Z470" s="4">
        <v>314</v>
      </c>
      <c r="AA470" s="4">
        <v>605</v>
      </c>
      <c r="AB470" s="4">
        <v>5</v>
      </c>
      <c r="AC470" s="4">
        <v>6</v>
      </c>
      <c r="AD470" s="4">
        <v>13</v>
      </c>
      <c r="AE470" s="4">
        <v>15</v>
      </c>
      <c r="AF470" s="4">
        <v>2</v>
      </c>
      <c r="AG470" s="4">
        <v>4</v>
      </c>
      <c r="AH470" s="4">
        <v>3</v>
      </c>
      <c r="AI470" s="4">
        <v>3</v>
      </c>
      <c r="AJ470" s="4">
        <v>5</v>
      </c>
      <c r="AK470" s="4">
        <v>6</v>
      </c>
      <c r="AL470" s="4">
        <v>4</v>
      </c>
      <c r="AM470" s="4">
        <v>4</v>
      </c>
      <c r="AN470" s="4">
        <v>0</v>
      </c>
      <c r="AO470" s="4">
        <v>0</v>
      </c>
      <c r="AP470" s="3" t="s">
        <v>58</v>
      </c>
      <c r="AQ470" s="3" t="s">
        <v>115</v>
      </c>
      <c r="AR470" s="6" t="str">
        <f>HYPERLINK("http://catalog.hathitrust.org/Record/001569651","HathiTrust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HYPERLINK("https://creighton-primo.hosted.exlibrisgroup.com/primo-explore/search?tab=default_tab&amp;search_scope=EVERYTHING&amp;vid=01CRU&amp;lang=en_US&amp;offset=0&amp;query=any,contains,991000960059702656","Catalog Record")</f>
        <v>Catalog Record</v>
      </c>
      <c r="AT470" s="6" t="str">
        <f>HYPERLINK("http://www.worldcat.org/oclc/30564","WorldCat Record")</f>
        <v>WorldCat Record</v>
      </c>
    </row>
    <row r="471" spans="1:46" ht="40.5" customHeight="1" x14ac:dyDescent="0.25">
      <c r="A471" s="8" t="s">
        <v>58</v>
      </c>
      <c r="B471" s="2" t="s">
        <v>3617</v>
      </c>
      <c r="C471" s="2" t="s">
        <v>3618</v>
      </c>
      <c r="D471" s="2" t="s">
        <v>3619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3620</v>
      </c>
      <c r="L471" s="2" t="s">
        <v>3621</v>
      </c>
      <c r="M471" s="3" t="s">
        <v>454</v>
      </c>
      <c r="N471" s="2" t="s">
        <v>3622</v>
      </c>
      <c r="O471" s="3" t="s">
        <v>64</v>
      </c>
      <c r="P471" s="3" t="s">
        <v>190</v>
      </c>
      <c r="R471" s="3" t="s">
        <v>1346</v>
      </c>
      <c r="S471" s="4">
        <v>2</v>
      </c>
      <c r="T471" s="4">
        <v>2</v>
      </c>
      <c r="U471" s="5" t="s">
        <v>3623</v>
      </c>
      <c r="V471" s="5" t="s">
        <v>3623</v>
      </c>
      <c r="W471" s="5" t="s">
        <v>3156</v>
      </c>
      <c r="X471" s="5" t="s">
        <v>3156</v>
      </c>
      <c r="Y471" s="4">
        <v>151</v>
      </c>
      <c r="Z471" s="4">
        <v>112</v>
      </c>
      <c r="AA471" s="4">
        <v>115</v>
      </c>
      <c r="AB471" s="4">
        <v>1</v>
      </c>
      <c r="AC471" s="4">
        <v>1</v>
      </c>
      <c r="AD471" s="4">
        <v>1</v>
      </c>
      <c r="AE471" s="4">
        <v>1</v>
      </c>
      <c r="AF471" s="4">
        <v>0</v>
      </c>
      <c r="AG471" s="4">
        <v>0</v>
      </c>
      <c r="AH471" s="4">
        <v>0</v>
      </c>
      <c r="AI471" s="4">
        <v>0</v>
      </c>
      <c r="AJ471" s="4">
        <v>1</v>
      </c>
      <c r="AK471" s="4">
        <v>1</v>
      </c>
      <c r="AL471" s="4">
        <v>0</v>
      </c>
      <c r="AM471" s="4">
        <v>0</v>
      </c>
      <c r="AN471" s="4">
        <v>0</v>
      </c>
      <c r="AO471" s="4">
        <v>0</v>
      </c>
      <c r="AP471" s="3" t="s">
        <v>58</v>
      </c>
      <c r="AQ471" s="3" t="s">
        <v>115</v>
      </c>
      <c r="AR471" s="6" t="str">
        <f>HYPERLINK("http://catalog.hathitrust.org/Record/001576933","HathiTrust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HYPERLINK("https://creighton-primo.hosted.exlibrisgroup.com/primo-explore/search?tab=default_tab&amp;search_scope=EVERYTHING&amp;vid=01CRU&amp;lang=en_US&amp;offset=0&amp;query=any,contains,991000960019702656","Catalog Record")</f>
        <v>Catalog Record</v>
      </c>
      <c r="AT471" s="6" t="str">
        <f>HYPERLINK("http://www.worldcat.org/oclc/559626","WorldCat Record")</f>
        <v>WorldCat Record</v>
      </c>
    </row>
    <row r="472" spans="1:46" ht="40.5" customHeight="1" x14ac:dyDescent="0.25">
      <c r="A472" s="8" t="s">
        <v>58</v>
      </c>
      <c r="B472" s="2" t="s">
        <v>3624</v>
      </c>
      <c r="C472" s="2" t="s">
        <v>3625</v>
      </c>
      <c r="D472" s="2" t="s">
        <v>3626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L472" s="2" t="s">
        <v>1049</v>
      </c>
      <c r="M472" s="3" t="s">
        <v>189</v>
      </c>
      <c r="O472" s="3" t="s">
        <v>64</v>
      </c>
      <c r="P472" s="3" t="s">
        <v>613</v>
      </c>
      <c r="R472" s="3" t="s">
        <v>1346</v>
      </c>
      <c r="S472" s="4">
        <v>11</v>
      </c>
      <c r="T472" s="4">
        <v>11</v>
      </c>
      <c r="U472" s="5" t="s">
        <v>3627</v>
      </c>
      <c r="V472" s="5" t="s">
        <v>3627</v>
      </c>
      <c r="W472" s="5" t="s">
        <v>3628</v>
      </c>
      <c r="X472" s="5" t="s">
        <v>3628</v>
      </c>
      <c r="Y472" s="4">
        <v>120</v>
      </c>
      <c r="Z472" s="4">
        <v>86</v>
      </c>
      <c r="AA472" s="4">
        <v>122</v>
      </c>
      <c r="AB472" s="4">
        <v>2</v>
      </c>
      <c r="AC472" s="4">
        <v>2</v>
      </c>
      <c r="AD472" s="4">
        <v>2</v>
      </c>
      <c r="AE472" s="4">
        <v>2</v>
      </c>
      <c r="AF472" s="4">
        <v>0</v>
      </c>
      <c r="AG472" s="4">
        <v>0</v>
      </c>
      <c r="AH472" s="4">
        <v>1</v>
      </c>
      <c r="AI472" s="4">
        <v>1</v>
      </c>
      <c r="AJ472" s="4">
        <v>0</v>
      </c>
      <c r="AK472" s="4">
        <v>0</v>
      </c>
      <c r="AL472" s="4">
        <v>1</v>
      </c>
      <c r="AM472" s="4">
        <v>1</v>
      </c>
      <c r="AN472" s="4">
        <v>0</v>
      </c>
      <c r="AO472" s="4">
        <v>0</v>
      </c>
      <c r="AP472" s="3" t="s">
        <v>58</v>
      </c>
      <c r="AQ472" s="3" t="s">
        <v>58</v>
      </c>
      <c r="AS472" s="6" t="str">
        <f>HYPERLINK("https://creighton-primo.hosted.exlibrisgroup.com/primo-explore/search?tab=default_tab&amp;search_scope=EVERYTHING&amp;vid=01CRU&amp;lang=en_US&amp;offset=0&amp;query=any,contains,991001341579702656","Catalog Record")</f>
        <v>Catalog Record</v>
      </c>
      <c r="AT472" s="6" t="str">
        <f>HYPERLINK("http://www.worldcat.org/oclc/25282412","WorldCat Record")</f>
        <v>WorldCat Record</v>
      </c>
    </row>
    <row r="473" spans="1:46" ht="40.5" customHeight="1" x14ac:dyDescent="0.25">
      <c r="A473" s="8" t="s">
        <v>58</v>
      </c>
      <c r="B473" s="2" t="s">
        <v>3629</v>
      </c>
      <c r="C473" s="2" t="s">
        <v>3630</v>
      </c>
      <c r="D473" s="2" t="s">
        <v>3631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L473" s="2" t="s">
        <v>3632</v>
      </c>
      <c r="M473" s="3" t="s">
        <v>424</v>
      </c>
      <c r="O473" s="3" t="s">
        <v>64</v>
      </c>
      <c r="P473" s="3" t="s">
        <v>112</v>
      </c>
      <c r="R473" s="3" t="s">
        <v>1346</v>
      </c>
      <c r="S473" s="4">
        <v>9</v>
      </c>
      <c r="T473" s="4">
        <v>9</v>
      </c>
      <c r="U473" s="5" t="s">
        <v>3633</v>
      </c>
      <c r="V473" s="5" t="s">
        <v>3633</v>
      </c>
      <c r="W473" s="5" t="s">
        <v>3634</v>
      </c>
      <c r="X473" s="5" t="s">
        <v>3634</v>
      </c>
      <c r="Y473" s="4">
        <v>117</v>
      </c>
      <c r="Z473" s="4">
        <v>69</v>
      </c>
      <c r="AA473" s="4">
        <v>71</v>
      </c>
      <c r="AB473" s="4">
        <v>1</v>
      </c>
      <c r="AC473" s="4">
        <v>1</v>
      </c>
      <c r="AD473" s="4">
        <v>2</v>
      </c>
      <c r="AE473" s="4">
        <v>2</v>
      </c>
      <c r="AF473" s="4">
        <v>1</v>
      </c>
      <c r="AG473" s="4">
        <v>1</v>
      </c>
      <c r="AH473" s="4">
        <v>0</v>
      </c>
      <c r="AI473" s="4">
        <v>0</v>
      </c>
      <c r="AJ473" s="4">
        <v>2</v>
      </c>
      <c r="AK473" s="4">
        <v>2</v>
      </c>
      <c r="AL473" s="4">
        <v>0</v>
      </c>
      <c r="AM473" s="4">
        <v>0</v>
      </c>
      <c r="AN473" s="4">
        <v>0</v>
      </c>
      <c r="AO473" s="4">
        <v>0</v>
      </c>
      <c r="AP473" s="3" t="s">
        <v>58</v>
      </c>
      <c r="AQ473" s="3" t="s">
        <v>115</v>
      </c>
      <c r="AR473" s="6" t="str">
        <f>HYPERLINK("http://catalog.hathitrust.org/Record/002981869","HathiTrust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HYPERLINK("https://creighton-primo.hosted.exlibrisgroup.com/primo-explore/search?tab=default_tab&amp;search_scope=EVERYTHING&amp;vid=01CRU&amp;lang=en_US&amp;offset=0&amp;query=any,contains,991000677509702656","Catalog Record")</f>
        <v>Catalog Record</v>
      </c>
      <c r="AT473" s="6" t="str">
        <f>HYPERLINK("http://www.worldcat.org/oclc/30493282","WorldCat Record")</f>
        <v>WorldCat Record</v>
      </c>
    </row>
    <row r="474" spans="1:46" ht="40.5" customHeight="1" x14ac:dyDescent="0.25">
      <c r="A474" s="8" t="s">
        <v>58</v>
      </c>
      <c r="B474" s="2" t="s">
        <v>3635</v>
      </c>
      <c r="C474" s="2" t="s">
        <v>3636</v>
      </c>
      <c r="D474" s="2" t="s">
        <v>3637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60</v>
      </c>
      <c r="K474" s="2" t="s">
        <v>3638</v>
      </c>
      <c r="L474" s="2" t="s">
        <v>3639</v>
      </c>
      <c r="M474" s="3" t="s">
        <v>628</v>
      </c>
      <c r="O474" s="3" t="s">
        <v>64</v>
      </c>
      <c r="P474" s="3" t="s">
        <v>265</v>
      </c>
      <c r="R474" s="3" t="s">
        <v>1346</v>
      </c>
      <c r="S474" s="4">
        <v>5</v>
      </c>
      <c r="T474" s="4">
        <v>5</v>
      </c>
      <c r="U474" s="5" t="s">
        <v>3640</v>
      </c>
      <c r="V474" s="5" t="s">
        <v>3640</v>
      </c>
      <c r="W474" s="5" t="s">
        <v>3156</v>
      </c>
      <c r="X474" s="5" t="s">
        <v>3156</v>
      </c>
      <c r="Y474" s="4">
        <v>23</v>
      </c>
      <c r="Z474" s="4">
        <v>16</v>
      </c>
      <c r="AA474" s="4">
        <v>16</v>
      </c>
      <c r="AB474" s="4">
        <v>1</v>
      </c>
      <c r="AC474" s="4">
        <v>1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3" t="s">
        <v>58</v>
      </c>
      <c r="AQ474" s="3" t="s">
        <v>58</v>
      </c>
      <c r="AS474" s="6" t="str">
        <f>HYPERLINK("https://creighton-primo.hosted.exlibrisgroup.com/primo-explore/search?tab=default_tab&amp;search_scope=EVERYTHING&amp;vid=01CRU&amp;lang=en_US&amp;offset=0&amp;query=any,contains,991000959979702656","Catalog Record")</f>
        <v>Catalog Record</v>
      </c>
      <c r="AT474" s="6" t="str">
        <f>HYPERLINK("http://www.worldcat.org/oclc/1201484","WorldCat Record")</f>
        <v>WorldCat Record</v>
      </c>
    </row>
    <row r="475" spans="1:46" ht="40.5" customHeight="1" x14ac:dyDescent="0.25">
      <c r="A475" s="8" t="s">
        <v>58</v>
      </c>
      <c r="B475" s="2" t="s">
        <v>3641</v>
      </c>
      <c r="C475" s="2" t="s">
        <v>3642</v>
      </c>
      <c r="D475" s="2" t="s">
        <v>3643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K475" s="2" t="s">
        <v>3644</v>
      </c>
      <c r="L475" s="2" t="s">
        <v>2762</v>
      </c>
      <c r="M475" s="3" t="s">
        <v>408</v>
      </c>
      <c r="O475" s="3" t="s">
        <v>64</v>
      </c>
      <c r="P475" s="3" t="s">
        <v>2755</v>
      </c>
      <c r="R475" s="3" t="s">
        <v>1346</v>
      </c>
      <c r="S475" s="4">
        <v>4</v>
      </c>
      <c r="T475" s="4">
        <v>4</v>
      </c>
      <c r="U475" s="5" t="s">
        <v>3645</v>
      </c>
      <c r="V475" s="5" t="s">
        <v>3645</v>
      </c>
      <c r="W475" s="5" t="s">
        <v>2918</v>
      </c>
      <c r="X475" s="5" t="s">
        <v>2918</v>
      </c>
      <c r="Y475" s="4">
        <v>86</v>
      </c>
      <c r="Z475" s="4">
        <v>53</v>
      </c>
      <c r="AA475" s="4">
        <v>55</v>
      </c>
      <c r="AB475" s="4">
        <v>1</v>
      </c>
      <c r="AC475" s="4">
        <v>1</v>
      </c>
      <c r="AD475" s="4">
        <v>1</v>
      </c>
      <c r="AE475" s="4">
        <v>1</v>
      </c>
      <c r="AF475" s="4">
        <v>0</v>
      </c>
      <c r="AG475" s="4">
        <v>0</v>
      </c>
      <c r="AH475" s="4">
        <v>0</v>
      </c>
      <c r="AI475" s="4">
        <v>0</v>
      </c>
      <c r="AJ475" s="4">
        <v>1</v>
      </c>
      <c r="AK475" s="4">
        <v>1</v>
      </c>
      <c r="AL475" s="4">
        <v>0</v>
      </c>
      <c r="AM475" s="4">
        <v>0</v>
      </c>
      <c r="AN475" s="4">
        <v>0</v>
      </c>
      <c r="AO475" s="4">
        <v>0</v>
      </c>
      <c r="AP475" s="3" t="s">
        <v>58</v>
      </c>
      <c r="AQ475" s="3" t="s">
        <v>115</v>
      </c>
      <c r="AR475" s="6" t="str">
        <f>HYPERLINK("http://catalog.hathitrust.org/Record/000806932","HathiTrust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HYPERLINK("https://creighton-primo.hosted.exlibrisgroup.com/primo-explore/search?tab=default_tab&amp;search_scope=EVERYTHING&amp;vid=01CRU&amp;lang=en_US&amp;offset=0&amp;query=any,contains,991000959929702656","Catalog Record")</f>
        <v>Catalog Record</v>
      </c>
      <c r="AT475" s="6" t="str">
        <f>HYPERLINK("http://www.worldcat.org/oclc/12418782","WorldCat Record")</f>
        <v>WorldCat Record</v>
      </c>
    </row>
    <row r="476" spans="1:46" ht="40.5" customHeight="1" x14ac:dyDescent="0.25">
      <c r="A476" s="8" t="s">
        <v>58</v>
      </c>
      <c r="B476" s="2" t="s">
        <v>3646</v>
      </c>
      <c r="C476" s="2" t="s">
        <v>3647</v>
      </c>
      <c r="D476" s="2" t="s">
        <v>3648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K476" s="2" t="s">
        <v>3649</v>
      </c>
      <c r="L476" s="2" t="s">
        <v>3650</v>
      </c>
      <c r="M476" s="3" t="s">
        <v>81</v>
      </c>
      <c r="O476" s="3" t="s">
        <v>64</v>
      </c>
      <c r="P476" s="3" t="s">
        <v>1355</v>
      </c>
      <c r="R476" s="3" t="s">
        <v>1346</v>
      </c>
      <c r="S476" s="4">
        <v>3</v>
      </c>
      <c r="T476" s="4">
        <v>3</v>
      </c>
      <c r="U476" s="5" t="s">
        <v>3651</v>
      </c>
      <c r="V476" s="5" t="s">
        <v>3651</v>
      </c>
      <c r="W476" s="5" t="s">
        <v>3652</v>
      </c>
      <c r="X476" s="5" t="s">
        <v>3652</v>
      </c>
      <c r="Y476" s="4">
        <v>81</v>
      </c>
      <c r="Z476" s="4">
        <v>48</v>
      </c>
      <c r="AA476" s="4">
        <v>50</v>
      </c>
      <c r="AB476" s="4">
        <v>1</v>
      </c>
      <c r="AC476" s="4">
        <v>1</v>
      </c>
      <c r="AD476" s="4">
        <v>1</v>
      </c>
      <c r="AE476" s="4">
        <v>1</v>
      </c>
      <c r="AF476" s="4">
        <v>0</v>
      </c>
      <c r="AG476" s="4">
        <v>0</v>
      </c>
      <c r="AH476" s="4">
        <v>0</v>
      </c>
      <c r="AI476" s="4">
        <v>0</v>
      </c>
      <c r="AJ476" s="4">
        <v>1</v>
      </c>
      <c r="AK476" s="4">
        <v>1</v>
      </c>
      <c r="AL476" s="4">
        <v>0</v>
      </c>
      <c r="AM476" s="4">
        <v>0</v>
      </c>
      <c r="AN476" s="4">
        <v>0</v>
      </c>
      <c r="AO476" s="4">
        <v>0</v>
      </c>
      <c r="AP476" s="3" t="s">
        <v>58</v>
      </c>
      <c r="AQ476" s="3" t="s">
        <v>115</v>
      </c>
      <c r="AR476" s="6" t="str">
        <f>HYPERLINK("http://catalog.hathitrust.org/Record/003794812","HathiTrust Record")</f>
        <v>HathiTrust Record</v>
      </c>
      <c r="AS476" s="6" t="str">
        <f>HYPERLINK("https://creighton-primo.hosted.exlibrisgroup.com/primo-explore/search?tab=default_tab&amp;search_scope=EVERYTHING&amp;vid=01CRU&amp;lang=en_US&amp;offset=0&amp;query=any,contains,991000960259702656","Catalog Record")</f>
        <v>Catalog Record</v>
      </c>
      <c r="AT476" s="6" t="str">
        <f>HYPERLINK("http://www.worldcat.org/oclc/6581208","WorldCat Record")</f>
        <v>WorldCat Record</v>
      </c>
    </row>
    <row r="477" spans="1:46" ht="40.5" customHeight="1" x14ac:dyDescent="0.25">
      <c r="A477" s="8" t="s">
        <v>58</v>
      </c>
      <c r="B477" s="2" t="s">
        <v>3653</v>
      </c>
      <c r="C477" s="2" t="s">
        <v>3654</v>
      </c>
      <c r="D477" s="2" t="s">
        <v>3655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60</v>
      </c>
      <c r="L477" s="2" t="s">
        <v>3656</v>
      </c>
      <c r="M477" s="3" t="s">
        <v>1899</v>
      </c>
      <c r="O477" s="3" t="s">
        <v>64</v>
      </c>
      <c r="P477" s="3" t="s">
        <v>65</v>
      </c>
      <c r="R477" s="3" t="s">
        <v>1346</v>
      </c>
      <c r="S477" s="4">
        <v>0</v>
      </c>
      <c r="T477" s="4">
        <v>0</v>
      </c>
      <c r="U477" s="5" t="s">
        <v>3657</v>
      </c>
      <c r="V477" s="5" t="s">
        <v>3657</v>
      </c>
      <c r="W477" s="5" t="s">
        <v>3657</v>
      </c>
      <c r="X477" s="5" t="s">
        <v>3657</v>
      </c>
      <c r="Y477" s="4">
        <v>20</v>
      </c>
      <c r="Z477" s="4">
        <v>15</v>
      </c>
      <c r="AA477" s="4">
        <v>15</v>
      </c>
      <c r="AB477" s="4">
        <v>1</v>
      </c>
      <c r="AC477" s="4">
        <v>1</v>
      </c>
      <c r="AD477" s="4">
        <v>1</v>
      </c>
      <c r="AE477" s="4">
        <v>1</v>
      </c>
      <c r="AF477" s="4">
        <v>0</v>
      </c>
      <c r="AG477" s="4">
        <v>0</v>
      </c>
      <c r="AH477" s="4">
        <v>1</v>
      </c>
      <c r="AI477" s="4">
        <v>1</v>
      </c>
      <c r="AJ477" s="4">
        <v>1</v>
      </c>
      <c r="AK477" s="4">
        <v>1</v>
      </c>
      <c r="AL477" s="4">
        <v>0</v>
      </c>
      <c r="AM477" s="4">
        <v>0</v>
      </c>
      <c r="AN477" s="4">
        <v>0</v>
      </c>
      <c r="AO477" s="4">
        <v>0</v>
      </c>
      <c r="AP477" s="3" t="s">
        <v>58</v>
      </c>
      <c r="AQ477" s="3" t="s">
        <v>58</v>
      </c>
      <c r="AS477" s="6" t="str">
        <f>HYPERLINK("https://creighton-primo.hosted.exlibrisgroup.com/primo-explore/search?tab=default_tab&amp;search_scope=EVERYTHING&amp;vid=01CRU&amp;lang=en_US&amp;offset=0&amp;query=any,contains,991001323939702656","Catalog Record")</f>
        <v>Catalog Record</v>
      </c>
      <c r="AT477" s="6" t="str">
        <f>HYPERLINK("http://www.worldcat.org/oclc/165048857","WorldCat Record")</f>
        <v>WorldCat Record</v>
      </c>
    </row>
    <row r="478" spans="1:46" ht="40.5" customHeight="1" x14ac:dyDescent="0.25">
      <c r="A478" s="8" t="s">
        <v>58</v>
      </c>
      <c r="B478" s="2" t="s">
        <v>3658</v>
      </c>
      <c r="C478" s="2" t="s">
        <v>3659</v>
      </c>
      <c r="D478" s="2" t="s">
        <v>3660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60</v>
      </c>
      <c r="K478" s="2" t="s">
        <v>3661</v>
      </c>
      <c r="L478" s="2" t="s">
        <v>3662</v>
      </c>
      <c r="M478" s="3" t="s">
        <v>1414</v>
      </c>
      <c r="O478" s="3" t="s">
        <v>64</v>
      </c>
      <c r="P478" s="3" t="s">
        <v>1822</v>
      </c>
      <c r="Q478" s="2" t="s">
        <v>530</v>
      </c>
      <c r="R478" s="3" t="s">
        <v>1346</v>
      </c>
      <c r="S478" s="4">
        <v>3</v>
      </c>
      <c r="T478" s="4">
        <v>3</v>
      </c>
      <c r="U478" s="5" t="s">
        <v>3663</v>
      </c>
      <c r="V478" s="5" t="s">
        <v>3663</v>
      </c>
      <c r="W478" s="5" t="s">
        <v>3664</v>
      </c>
      <c r="X478" s="5" t="s">
        <v>3664</v>
      </c>
      <c r="Y478" s="4">
        <v>104</v>
      </c>
      <c r="Z478" s="4">
        <v>74</v>
      </c>
      <c r="AA478" s="4">
        <v>76</v>
      </c>
      <c r="AB478" s="4">
        <v>1</v>
      </c>
      <c r="AC478" s="4">
        <v>1</v>
      </c>
      <c r="AD478" s="4">
        <v>2</v>
      </c>
      <c r="AE478" s="4">
        <v>2</v>
      </c>
      <c r="AF478" s="4">
        <v>0</v>
      </c>
      <c r="AG478" s="4">
        <v>0</v>
      </c>
      <c r="AH478" s="4">
        <v>1</v>
      </c>
      <c r="AI478" s="4">
        <v>1</v>
      </c>
      <c r="AJ478" s="4">
        <v>1</v>
      </c>
      <c r="AK478" s="4">
        <v>1</v>
      </c>
      <c r="AL478" s="4">
        <v>0</v>
      </c>
      <c r="AM478" s="4">
        <v>0</v>
      </c>
      <c r="AN478" s="4">
        <v>0</v>
      </c>
      <c r="AO478" s="4">
        <v>0</v>
      </c>
      <c r="AP478" s="3" t="s">
        <v>58</v>
      </c>
      <c r="AQ478" s="3" t="s">
        <v>115</v>
      </c>
      <c r="AR478" s="6" t="str">
        <f>HYPERLINK("http://catalog.hathitrust.org/Record/000456177","HathiTrust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HYPERLINK("https://creighton-primo.hosted.exlibrisgroup.com/primo-explore/search?tab=default_tab&amp;search_scope=EVERYTHING&amp;vid=01CRU&amp;lang=en_US&amp;offset=0&amp;query=any,contains,991000960299702656","Catalog Record")</f>
        <v>Catalog Record</v>
      </c>
      <c r="AT478" s="6" t="str">
        <f>HYPERLINK("http://www.worldcat.org/oclc/10912707","WorldCat Record")</f>
        <v>WorldCat Record</v>
      </c>
    </row>
    <row r="479" spans="1:46" ht="40.5" customHeight="1" x14ac:dyDescent="0.25">
      <c r="A479" s="8" t="s">
        <v>58</v>
      </c>
      <c r="B479" s="2" t="s">
        <v>3665</v>
      </c>
      <c r="C479" s="2" t="s">
        <v>3666</v>
      </c>
      <c r="D479" s="2" t="s">
        <v>3667</v>
      </c>
      <c r="F479" s="3" t="s">
        <v>58</v>
      </c>
      <c r="G479" s="3" t="s">
        <v>59</v>
      </c>
      <c r="H479" s="3" t="s">
        <v>58</v>
      </c>
      <c r="I479" s="3" t="s">
        <v>115</v>
      </c>
      <c r="J479" s="3" t="s">
        <v>60</v>
      </c>
      <c r="L479" s="2" t="s">
        <v>3668</v>
      </c>
      <c r="M479" s="3" t="s">
        <v>1392</v>
      </c>
      <c r="N479" s="2" t="s">
        <v>936</v>
      </c>
      <c r="O479" s="3" t="s">
        <v>64</v>
      </c>
      <c r="P479" s="3" t="s">
        <v>1355</v>
      </c>
      <c r="R479" s="3" t="s">
        <v>1346</v>
      </c>
      <c r="S479" s="4">
        <v>9</v>
      </c>
      <c r="T479" s="4">
        <v>9</v>
      </c>
      <c r="U479" s="5" t="s">
        <v>3669</v>
      </c>
      <c r="V479" s="5" t="s">
        <v>3669</v>
      </c>
      <c r="W479" s="5" t="s">
        <v>3664</v>
      </c>
      <c r="X479" s="5" t="s">
        <v>3664</v>
      </c>
      <c r="Y479" s="4">
        <v>331</v>
      </c>
      <c r="Z479" s="4">
        <v>248</v>
      </c>
      <c r="AA479" s="4">
        <v>711</v>
      </c>
      <c r="AB479" s="4">
        <v>1</v>
      </c>
      <c r="AC479" s="4">
        <v>6</v>
      </c>
      <c r="AD479" s="4">
        <v>5</v>
      </c>
      <c r="AE479" s="4">
        <v>18</v>
      </c>
      <c r="AF479" s="4">
        <v>1</v>
      </c>
      <c r="AG479" s="4">
        <v>7</v>
      </c>
      <c r="AH479" s="4">
        <v>3</v>
      </c>
      <c r="AI479" s="4">
        <v>4</v>
      </c>
      <c r="AJ479" s="4">
        <v>3</v>
      </c>
      <c r="AK479" s="4">
        <v>8</v>
      </c>
      <c r="AL479" s="4">
        <v>0</v>
      </c>
      <c r="AM479" s="4">
        <v>4</v>
      </c>
      <c r="AN479" s="4">
        <v>0</v>
      </c>
      <c r="AO479" s="4">
        <v>0</v>
      </c>
      <c r="AP479" s="3" t="s">
        <v>58</v>
      </c>
      <c r="AQ479" s="3" t="s">
        <v>115</v>
      </c>
      <c r="AR479" s="6" t="str">
        <f>HYPERLINK("http://catalog.hathitrust.org/Record/000776175","HathiTrust Record")</f>
        <v>HathiTrust Record</v>
      </c>
      <c r="AS479" s="6" t="str">
        <f>HYPERLINK("https://creighton-primo.hosted.exlibrisgroup.com/primo-explore/search?tab=default_tab&amp;search_scope=EVERYTHING&amp;vid=01CRU&amp;lang=en_US&amp;offset=0&amp;query=any,contains,991000960219702656","Catalog Record")</f>
        <v>Catalog Record</v>
      </c>
      <c r="AT479" s="6" t="str">
        <f>HYPERLINK("http://www.worldcat.org/oclc/9110784","WorldCat Record")</f>
        <v>WorldCat Record</v>
      </c>
    </row>
    <row r="480" spans="1:46" ht="40.5" customHeight="1" x14ac:dyDescent="0.25">
      <c r="A480" s="8" t="s">
        <v>58</v>
      </c>
      <c r="B480" s="2" t="s">
        <v>3670</v>
      </c>
      <c r="C480" s="2" t="s">
        <v>3671</v>
      </c>
      <c r="D480" s="2" t="s">
        <v>3672</v>
      </c>
      <c r="F480" s="3" t="s">
        <v>58</v>
      </c>
      <c r="G480" s="3" t="s">
        <v>59</v>
      </c>
      <c r="H480" s="3" t="s">
        <v>58</v>
      </c>
      <c r="I480" s="3" t="s">
        <v>58</v>
      </c>
      <c r="J480" s="3" t="s">
        <v>60</v>
      </c>
      <c r="K480" s="2" t="s">
        <v>3673</v>
      </c>
      <c r="L480" s="2" t="s">
        <v>3674</v>
      </c>
      <c r="M480" s="3" t="s">
        <v>424</v>
      </c>
      <c r="O480" s="3" t="s">
        <v>64</v>
      </c>
      <c r="P480" s="3" t="s">
        <v>613</v>
      </c>
      <c r="R480" s="3" t="s">
        <v>1346</v>
      </c>
      <c r="S480" s="4">
        <v>3</v>
      </c>
      <c r="T480" s="4">
        <v>3</v>
      </c>
      <c r="U480" s="5" t="s">
        <v>3675</v>
      </c>
      <c r="V480" s="5" t="s">
        <v>3675</v>
      </c>
      <c r="W480" s="5" t="s">
        <v>3676</v>
      </c>
      <c r="X480" s="5" t="s">
        <v>3676</v>
      </c>
      <c r="Y480" s="4">
        <v>246</v>
      </c>
      <c r="Z480" s="4">
        <v>179</v>
      </c>
      <c r="AA480" s="4">
        <v>179</v>
      </c>
      <c r="AB480" s="4">
        <v>1</v>
      </c>
      <c r="AC480" s="4">
        <v>1</v>
      </c>
      <c r="AD480" s="4">
        <v>4</v>
      </c>
      <c r="AE480" s="4">
        <v>4</v>
      </c>
      <c r="AF480" s="4">
        <v>1</v>
      </c>
      <c r="AG480" s="4">
        <v>1</v>
      </c>
      <c r="AH480" s="4">
        <v>2</v>
      </c>
      <c r="AI480" s="4">
        <v>2</v>
      </c>
      <c r="AJ480" s="4">
        <v>3</v>
      </c>
      <c r="AK480" s="4">
        <v>3</v>
      </c>
      <c r="AL480" s="4">
        <v>0</v>
      </c>
      <c r="AM480" s="4">
        <v>0</v>
      </c>
      <c r="AN480" s="4">
        <v>0</v>
      </c>
      <c r="AO480" s="4">
        <v>0</v>
      </c>
      <c r="AP480" s="3" t="s">
        <v>58</v>
      </c>
      <c r="AQ480" s="3" t="s">
        <v>58</v>
      </c>
      <c r="AS480" s="6" t="str">
        <f>HYPERLINK("https://creighton-primo.hosted.exlibrisgroup.com/primo-explore/search?tab=default_tab&amp;search_scope=EVERYTHING&amp;vid=01CRU&amp;lang=en_US&amp;offset=0&amp;query=any,contains,991000679679702656","Catalog Record")</f>
        <v>Catalog Record</v>
      </c>
      <c r="AT480" s="6" t="str">
        <f>HYPERLINK("http://www.worldcat.org/oclc/28585198","WorldCat Record")</f>
        <v>WorldCat Record</v>
      </c>
    </row>
    <row r="481" spans="1:46" ht="40.5" customHeight="1" x14ac:dyDescent="0.25">
      <c r="A481" s="8" t="s">
        <v>58</v>
      </c>
      <c r="B481" s="2" t="s">
        <v>3677</v>
      </c>
      <c r="C481" s="2" t="s">
        <v>3678</v>
      </c>
      <c r="D481" s="2" t="s">
        <v>3679</v>
      </c>
      <c r="E481" s="3" t="s">
        <v>2382</v>
      </c>
      <c r="F481" s="3" t="s">
        <v>115</v>
      </c>
      <c r="G481" s="3" t="s">
        <v>59</v>
      </c>
      <c r="H481" s="3" t="s">
        <v>58</v>
      </c>
      <c r="I481" s="3" t="s">
        <v>58</v>
      </c>
      <c r="J481" s="3" t="s">
        <v>60</v>
      </c>
      <c r="L481" s="2" t="s">
        <v>3680</v>
      </c>
      <c r="M481" s="3" t="s">
        <v>408</v>
      </c>
      <c r="O481" s="3" t="s">
        <v>64</v>
      </c>
      <c r="P481" s="3" t="s">
        <v>1355</v>
      </c>
      <c r="R481" s="3" t="s">
        <v>1346</v>
      </c>
      <c r="S481" s="4">
        <v>3</v>
      </c>
      <c r="T481" s="4">
        <v>11</v>
      </c>
      <c r="U481" s="5" t="s">
        <v>1330</v>
      </c>
      <c r="V481" s="5" t="s">
        <v>2573</v>
      </c>
      <c r="W481" s="5" t="s">
        <v>3664</v>
      </c>
      <c r="X481" s="5" t="s">
        <v>3664</v>
      </c>
      <c r="Y481" s="4">
        <v>128</v>
      </c>
      <c r="Z481" s="4">
        <v>102</v>
      </c>
      <c r="AA481" s="4">
        <v>104</v>
      </c>
      <c r="AB481" s="4">
        <v>1</v>
      </c>
      <c r="AC481" s="4">
        <v>1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3" t="s">
        <v>58</v>
      </c>
      <c r="AQ481" s="3" t="s">
        <v>115</v>
      </c>
      <c r="AR481" s="6" t="str">
        <f>HYPERLINK("http://catalog.hathitrust.org/Record/000580163","HathiTrust Record")</f>
        <v>HathiTrust Record</v>
      </c>
      <c r="AS481" s="6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T481" s="6" t="str">
        <f>HYPERLINK("http://www.worldcat.org/oclc/11113868","WorldCat Record")</f>
        <v>WorldCat Record</v>
      </c>
    </row>
    <row r="482" spans="1:46" ht="40.5" customHeight="1" x14ac:dyDescent="0.25">
      <c r="A482" s="8" t="s">
        <v>58</v>
      </c>
      <c r="B482" s="2" t="s">
        <v>3677</v>
      </c>
      <c r="C482" s="2" t="s">
        <v>3678</v>
      </c>
      <c r="D482" s="2" t="s">
        <v>3679</v>
      </c>
      <c r="E482" s="3" t="s">
        <v>492</v>
      </c>
      <c r="F482" s="3" t="s">
        <v>115</v>
      </c>
      <c r="G482" s="3" t="s">
        <v>59</v>
      </c>
      <c r="H482" s="3" t="s">
        <v>58</v>
      </c>
      <c r="I482" s="3" t="s">
        <v>58</v>
      </c>
      <c r="J482" s="3" t="s">
        <v>60</v>
      </c>
      <c r="L482" s="2" t="s">
        <v>3680</v>
      </c>
      <c r="M482" s="3" t="s">
        <v>408</v>
      </c>
      <c r="O482" s="3" t="s">
        <v>64</v>
      </c>
      <c r="P482" s="3" t="s">
        <v>1355</v>
      </c>
      <c r="R482" s="3" t="s">
        <v>1346</v>
      </c>
      <c r="S482" s="4">
        <v>4</v>
      </c>
      <c r="T482" s="4">
        <v>11</v>
      </c>
      <c r="U482" s="5" t="s">
        <v>2573</v>
      </c>
      <c r="V482" s="5" t="s">
        <v>2573</v>
      </c>
      <c r="W482" s="5" t="s">
        <v>3664</v>
      </c>
      <c r="X482" s="5" t="s">
        <v>3664</v>
      </c>
      <c r="Y482" s="4">
        <v>128</v>
      </c>
      <c r="Z482" s="4">
        <v>102</v>
      </c>
      <c r="AA482" s="4">
        <v>104</v>
      </c>
      <c r="AB482" s="4">
        <v>1</v>
      </c>
      <c r="AC482" s="4">
        <v>1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3" t="s">
        <v>58</v>
      </c>
      <c r="AQ482" s="3" t="s">
        <v>115</v>
      </c>
      <c r="AR482" s="6" t="str">
        <f>HYPERLINK("http://catalog.hathitrust.org/Record/000580163","HathiTrust Record")</f>
        <v>HathiTrust Record</v>
      </c>
      <c r="AS482" s="6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T482" s="6" t="str">
        <f>HYPERLINK("http://www.worldcat.org/oclc/11113868","WorldCat Record")</f>
        <v>WorldCat Record</v>
      </c>
    </row>
    <row r="483" spans="1:46" ht="40.5" customHeight="1" x14ac:dyDescent="0.25">
      <c r="A483" s="8" t="s">
        <v>58</v>
      </c>
      <c r="B483" s="2" t="s">
        <v>3677</v>
      </c>
      <c r="C483" s="2" t="s">
        <v>3678</v>
      </c>
      <c r="D483" s="2" t="s">
        <v>3679</v>
      </c>
      <c r="E483" s="3" t="s">
        <v>480</v>
      </c>
      <c r="F483" s="3" t="s">
        <v>115</v>
      </c>
      <c r="G483" s="3" t="s">
        <v>59</v>
      </c>
      <c r="H483" s="3" t="s">
        <v>58</v>
      </c>
      <c r="I483" s="3" t="s">
        <v>58</v>
      </c>
      <c r="J483" s="3" t="s">
        <v>60</v>
      </c>
      <c r="L483" s="2" t="s">
        <v>3680</v>
      </c>
      <c r="M483" s="3" t="s">
        <v>408</v>
      </c>
      <c r="O483" s="3" t="s">
        <v>64</v>
      </c>
      <c r="P483" s="3" t="s">
        <v>1355</v>
      </c>
      <c r="R483" s="3" t="s">
        <v>1346</v>
      </c>
      <c r="S483" s="4">
        <v>4</v>
      </c>
      <c r="T483" s="4">
        <v>11</v>
      </c>
      <c r="U483" s="5" t="s">
        <v>2573</v>
      </c>
      <c r="V483" s="5" t="s">
        <v>2573</v>
      </c>
      <c r="W483" s="5" t="s">
        <v>3664</v>
      </c>
      <c r="X483" s="5" t="s">
        <v>3664</v>
      </c>
      <c r="Y483" s="4">
        <v>128</v>
      </c>
      <c r="Z483" s="4">
        <v>102</v>
      </c>
      <c r="AA483" s="4">
        <v>104</v>
      </c>
      <c r="AB483" s="4">
        <v>1</v>
      </c>
      <c r="AC483" s="4">
        <v>1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3" t="s">
        <v>58</v>
      </c>
      <c r="AQ483" s="3" t="s">
        <v>115</v>
      </c>
      <c r="AR483" s="6" t="str">
        <f>HYPERLINK("http://catalog.hathitrust.org/Record/000580163","HathiTrust Record")</f>
        <v>HathiTrust Record</v>
      </c>
      <c r="AS483" s="6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T483" s="6" t="str">
        <f>HYPERLINK("http://www.worldcat.org/oclc/11113868","WorldCat Record")</f>
        <v>WorldCat Record</v>
      </c>
    </row>
    <row r="484" spans="1:46" ht="40.5" customHeight="1" x14ac:dyDescent="0.25">
      <c r="A484" s="8" t="s">
        <v>58</v>
      </c>
      <c r="B484" s="2" t="s">
        <v>3681</v>
      </c>
      <c r="C484" s="2" t="s">
        <v>3682</v>
      </c>
      <c r="D484" s="2" t="s">
        <v>3683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L484" s="2" t="s">
        <v>3684</v>
      </c>
      <c r="M484" s="3" t="s">
        <v>81</v>
      </c>
      <c r="N484" s="2" t="s">
        <v>1091</v>
      </c>
      <c r="O484" s="3" t="s">
        <v>64</v>
      </c>
      <c r="P484" s="3" t="s">
        <v>1355</v>
      </c>
      <c r="R484" s="3" t="s">
        <v>1346</v>
      </c>
      <c r="S484" s="4">
        <v>1</v>
      </c>
      <c r="T484" s="4">
        <v>1</v>
      </c>
      <c r="U484" s="5" t="s">
        <v>3685</v>
      </c>
      <c r="V484" s="5" t="s">
        <v>3685</v>
      </c>
      <c r="W484" s="5" t="s">
        <v>1436</v>
      </c>
      <c r="X484" s="5" t="s">
        <v>1436</v>
      </c>
      <c r="Y484" s="4">
        <v>215</v>
      </c>
      <c r="Z484" s="4">
        <v>164</v>
      </c>
      <c r="AA484" s="4">
        <v>257</v>
      </c>
      <c r="AB484" s="4">
        <v>1</v>
      </c>
      <c r="AC484" s="4">
        <v>3</v>
      </c>
      <c r="AD484" s="4">
        <v>0</v>
      </c>
      <c r="AE484" s="4">
        <v>5</v>
      </c>
      <c r="AF484" s="4">
        <v>0</v>
      </c>
      <c r="AG484" s="4">
        <v>1</v>
      </c>
      <c r="AH484" s="4">
        <v>0</v>
      </c>
      <c r="AI484" s="4">
        <v>1</v>
      </c>
      <c r="AJ484" s="4">
        <v>0</v>
      </c>
      <c r="AK484" s="4">
        <v>1</v>
      </c>
      <c r="AL484" s="4">
        <v>0</v>
      </c>
      <c r="AM484" s="4">
        <v>2</v>
      </c>
      <c r="AN484" s="4">
        <v>0</v>
      </c>
      <c r="AO484" s="4">
        <v>0</v>
      </c>
      <c r="AP484" s="3" t="s">
        <v>58</v>
      </c>
      <c r="AQ484" s="3" t="s">
        <v>115</v>
      </c>
      <c r="AR484" s="6" t="str">
        <f>HYPERLINK("http://catalog.hathitrust.org/Record/000138675","HathiTrust Record")</f>
        <v>HathiTrust Record</v>
      </c>
      <c r="AS484" s="6" t="str">
        <f>HYPERLINK("https://creighton-primo.hosted.exlibrisgroup.com/primo-explore/search?tab=default_tab&amp;search_scope=EVERYTHING&amp;vid=01CRU&amp;lang=en_US&amp;offset=0&amp;query=any,contains,991000748029702656","Catalog Record")</f>
        <v>Catalog Record</v>
      </c>
      <c r="AT484" s="6" t="str">
        <f>HYPERLINK("http://www.worldcat.org/oclc/6197170","WorldCat Record")</f>
        <v>WorldCat Record</v>
      </c>
    </row>
    <row r="485" spans="1:46" ht="40.5" customHeight="1" x14ac:dyDescent="0.25">
      <c r="A485" s="8" t="s">
        <v>58</v>
      </c>
      <c r="B485" s="2" t="s">
        <v>3686</v>
      </c>
      <c r="C485" s="2" t="s">
        <v>3687</v>
      </c>
      <c r="D485" s="2" t="s">
        <v>3688</v>
      </c>
      <c r="F485" s="3" t="s">
        <v>58</v>
      </c>
      <c r="G485" s="3" t="s">
        <v>59</v>
      </c>
      <c r="H485" s="3" t="s">
        <v>58</v>
      </c>
      <c r="I485" s="3" t="s">
        <v>58</v>
      </c>
      <c r="J485" s="3" t="s">
        <v>60</v>
      </c>
      <c r="L485" s="2" t="s">
        <v>2415</v>
      </c>
      <c r="M485" s="3" t="s">
        <v>1122</v>
      </c>
      <c r="O485" s="3" t="s">
        <v>64</v>
      </c>
      <c r="P485" s="3" t="s">
        <v>1355</v>
      </c>
      <c r="Q485" s="2" t="s">
        <v>3689</v>
      </c>
      <c r="R485" s="3" t="s">
        <v>1346</v>
      </c>
      <c r="S485" s="4">
        <v>6</v>
      </c>
      <c r="T485" s="4">
        <v>6</v>
      </c>
      <c r="U485" s="5" t="s">
        <v>3600</v>
      </c>
      <c r="V485" s="5" t="s">
        <v>3600</v>
      </c>
      <c r="W485" s="5" t="s">
        <v>3690</v>
      </c>
      <c r="X485" s="5" t="s">
        <v>3690</v>
      </c>
      <c r="Y485" s="4">
        <v>84</v>
      </c>
      <c r="Z485" s="4">
        <v>59</v>
      </c>
      <c r="AA485" s="4">
        <v>59</v>
      </c>
      <c r="AB485" s="4">
        <v>1</v>
      </c>
      <c r="AC485" s="4">
        <v>1</v>
      </c>
      <c r="AD485" s="4">
        <v>2</v>
      </c>
      <c r="AE485" s="4">
        <v>2</v>
      </c>
      <c r="AF485" s="4">
        <v>2</v>
      </c>
      <c r="AG485" s="4">
        <v>2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3" t="s">
        <v>58</v>
      </c>
      <c r="AQ485" s="3" t="s">
        <v>58</v>
      </c>
      <c r="AS485" s="6" t="str">
        <f>HYPERLINK("https://creighton-primo.hosted.exlibrisgroup.com/primo-explore/search?tab=default_tab&amp;search_scope=EVERYTHING&amp;vid=01CRU&amp;lang=en_US&amp;offset=0&amp;query=any,contains,991000815879702656","Catalog Record")</f>
        <v>Catalog Record</v>
      </c>
      <c r="AT485" s="6" t="str">
        <f>HYPERLINK("http://www.worldcat.org/oclc/21909906","WorldCat Record")</f>
        <v>WorldCat Record</v>
      </c>
    </row>
    <row r="486" spans="1:46" ht="40.5" customHeight="1" x14ac:dyDescent="0.25">
      <c r="A486" s="8" t="s">
        <v>58</v>
      </c>
      <c r="B486" s="2" t="s">
        <v>3691</v>
      </c>
      <c r="C486" s="2" t="s">
        <v>3692</v>
      </c>
      <c r="D486" s="2" t="s">
        <v>3693</v>
      </c>
      <c r="F486" s="3" t="s">
        <v>58</v>
      </c>
      <c r="G486" s="3" t="s">
        <v>59</v>
      </c>
      <c r="H486" s="3" t="s">
        <v>58</v>
      </c>
      <c r="I486" s="3" t="s">
        <v>58</v>
      </c>
      <c r="J486" s="3" t="s">
        <v>60</v>
      </c>
      <c r="L486" s="2" t="s">
        <v>3694</v>
      </c>
      <c r="M486" s="3" t="s">
        <v>380</v>
      </c>
      <c r="O486" s="3" t="s">
        <v>64</v>
      </c>
      <c r="P486" s="3" t="s">
        <v>65</v>
      </c>
      <c r="Q486" s="2" t="s">
        <v>3695</v>
      </c>
      <c r="R486" s="3" t="s">
        <v>1346</v>
      </c>
      <c r="S486" s="4">
        <v>5</v>
      </c>
      <c r="T486" s="4">
        <v>5</v>
      </c>
      <c r="U486" s="5" t="s">
        <v>3696</v>
      </c>
      <c r="V486" s="5" t="s">
        <v>3696</v>
      </c>
      <c r="W486" s="5" t="s">
        <v>1778</v>
      </c>
      <c r="X486" s="5" t="s">
        <v>1778</v>
      </c>
      <c r="Y486" s="4">
        <v>69</v>
      </c>
      <c r="Z486" s="4">
        <v>51</v>
      </c>
      <c r="AA486" s="4">
        <v>51</v>
      </c>
      <c r="AB486" s="4">
        <v>1</v>
      </c>
      <c r="AC486" s="4">
        <v>1</v>
      </c>
      <c r="AD486" s="4">
        <v>1</v>
      </c>
      <c r="AE486" s="4">
        <v>1</v>
      </c>
      <c r="AF486" s="4">
        <v>0</v>
      </c>
      <c r="AG486" s="4">
        <v>0</v>
      </c>
      <c r="AH486" s="4">
        <v>1</v>
      </c>
      <c r="AI486" s="4">
        <v>1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3" t="s">
        <v>58</v>
      </c>
      <c r="AQ486" s="3" t="s">
        <v>58</v>
      </c>
      <c r="AS486" s="6" t="str">
        <f>HYPERLINK("https://creighton-primo.hosted.exlibrisgroup.com/primo-explore/search?tab=default_tab&amp;search_scope=EVERYTHING&amp;vid=01CRU&amp;lang=en_US&amp;offset=0&amp;query=any,contains,991001511019702656","Catalog Record")</f>
        <v>Catalog Record</v>
      </c>
      <c r="AT486" s="6" t="str">
        <f>HYPERLINK("http://www.worldcat.org/oclc/27173247","WorldCat Record")</f>
        <v>WorldCat Record</v>
      </c>
    </row>
    <row r="487" spans="1:46" ht="40.5" customHeight="1" x14ac:dyDescent="0.25">
      <c r="A487" s="8" t="s">
        <v>58</v>
      </c>
      <c r="B487" s="2" t="s">
        <v>3697</v>
      </c>
      <c r="C487" s="2" t="s">
        <v>3698</v>
      </c>
      <c r="D487" s="2" t="s">
        <v>3699</v>
      </c>
      <c r="F487" s="3" t="s">
        <v>58</v>
      </c>
      <c r="G487" s="3" t="s">
        <v>59</v>
      </c>
      <c r="H487" s="3" t="s">
        <v>58</v>
      </c>
      <c r="I487" s="3" t="s">
        <v>58</v>
      </c>
      <c r="J487" s="3" t="s">
        <v>60</v>
      </c>
      <c r="L487" s="2" t="s">
        <v>3700</v>
      </c>
      <c r="M487" s="3" t="s">
        <v>3701</v>
      </c>
      <c r="O487" s="3" t="s">
        <v>64</v>
      </c>
      <c r="P487" s="3" t="s">
        <v>65</v>
      </c>
      <c r="Q487" s="2" t="s">
        <v>3702</v>
      </c>
      <c r="R487" s="3" t="s">
        <v>1346</v>
      </c>
      <c r="S487" s="4">
        <v>2</v>
      </c>
      <c r="T487" s="4">
        <v>2</v>
      </c>
      <c r="U487" s="5" t="s">
        <v>3703</v>
      </c>
      <c r="V487" s="5" t="s">
        <v>3703</v>
      </c>
      <c r="W487" s="5" t="s">
        <v>3704</v>
      </c>
      <c r="X487" s="5" t="s">
        <v>3704</v>
      </c>
      <c r="Y487" s="4">
        <v>30</v>
      </c>
      <c r="Z487" s="4">
        <v>17</v>
      </c>
      <c r="AA487" s="4">
        <v>19</v>
      </c>
      <c r="AB487" s="4">
        <v>1</v>
      </c>
      <c r="AC487" s="4">
        <v>1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3" t="s">
        <v>58</v>
      </c>
      <c r="AQ487" s="3" t="s">
        <v>58</v>
      </c>
      <c r="AR487" s="6" t="str">
        <f>HYPERLINK("http://catalog.hathitrust.org/Record/002074937","HathiTrust Record")</f>
        <v>HathiTrust Record</v>
      </c>
      <c r="AS487" s="6" t="str">
        <f>HYPERLINK("https://creighton-primo.hosted.exlibrisgroup.com/primo-explore/search?tab=default_tab&amp;search_scope=EVERYTHING&amp;vid=01CRU&amp;lang=en_US&amp;offset=0&amp;query=any,contains,991000960579702656","Catalog Record")</f>
        <v>Catalog Record</v>
      </c>
      <c r="AT487" s="6" t="str">
        <f>HYPERLINK("http://www.worldcat.org/oclc/14728800","WorldCat Record")</f>
        <v>WorldCat Record</v>
      </c>
    </row>
    <row r="488" spans="1:46" ht="40.5" customHeight="1" x14ac:dyDescent="0.25">
      <c r="A488" s="8" t="s">
        <v>58</v>
      </c>
      <c r="B488" s="2" t="s">
        <v>3705</v>
      </c>
      <c r="C488" s="2" t="s">
        <v>3706</v>
      </c>
      <c r="D488" s="2" t="s">
        <v>3707</v>
      </c>
      <c r="F488" s="3" t="s">
        <v>58</v>
      </c>
      <c r="G488" s="3" t="s">
        <v>59</v>
      </c>
      <c r="H488" s="3" t="s">
        <v>58</v>
      </c>
      <c r="I488" s="3" t="s">
        <v>58</v>
      </c>
      <c r="J488" s="3" t="s">
        <v>59</v>
      </c>
      <c r="K488" s="2" t="s">
        <v>3708</v>
      </c>
      <c r="L488" s="2" t="s">
        <v>3709</v>
      </c>
      <c r="M488" s="3" t="s">
        <v>515</v>
      </c>
      <c r="O488" s="3" t="s">
        <v>64</v>
      </c>
      <c r="P488" s="3" t="s">
        <v>1355</v>
      </c>
      <c r="R488" s="3" t="s">
        <v>1346</v>
      </c>
      <c r="S488" s="4">
        <v>4</v>
      </c>
      <c r="T488" s="4">
        <v>4</v>
      </c>
      <c r="U488" s="5" t="s">
        <v>2270</v>
      </c>
      <c r="V488" s="5" t="s">
        <v>2270</v>
      </c>
      <c r="W488" s="5" t="s">
        <v>3710</v>
      </c>
      <c r="X488" s="5" t="s">
        <v>3710</v>
      </c>
      <c r="Y488" s="4">
        <v>200</v>
      </c>
      <c r="Z488" s="4">
        <v>133</v>
      </c>
      <c r="AA488" s="4">
        <v>880</v>
      </c>
      <c r="AB488" s="4">
        <v>1</v>
      </c>
      <c r="AC488" s="4">
        <v>15</v>
      </c>
      <c r="AD488" s="4">
        <v>3</v>
      </c>
      <c r="AE488" s="4">
        <v>34</v>
      </c>
      <c r="AF488" s="4">
        <v>0</v>
      </c>
      <c r="AG488" s="4">
        <v>8</v>
      </c>
      <c r="AH488" s="4">
        <v>1</v>
      </c>
      <c r="AI488" s="4">
        <v>7</v>
      </c>
      <c r="AJ488" s="4">
        <v>2</v>
      </c>
      <c r="AK488" s="4">
        <v>9</v>
      </c>
      <c r="AL488" s="4">
        <v>0</v>
      </c>
      <c r="AM488" s="4">
        <v>13</v>
      </c>
      <c r="AN488" s="4">
        <v>0</v>
      </c>
      <c r="AO488" s="4">
        <v>1</v>
      </c>
      <c r="AP488" s="3" t="s">
        <v>58</v>
      </c>
      <c r="AQ488" s="3" t="s">
        <v>115</v>
      </c>
      <c r="AR488" s="6" t="str">
        <f>HYPERLINK("http://catalog.hathitrust.org/Record/000426794","HathiTrust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HYPERLINK("https://creighton-primo.hosted.exlibrisgroup.com/primo-explore/search?tab=default_tab&amp;search_scope=EVERYTHING&amp;vid=01CRU&amp;lang=en_US&amp;offset=0&amp;query=any,contains,991001423329702656","Catalog Record")</f>
        <v>Catalog Record</v>
      </c>
      <c r="AT488" s="6" t="str">
        <f>HYPERLINK("http://www.worldcat.org/oclc/11649516","WorldCat Record")</f>
        <v>WorldCat Record</v>
      </c>
    </row>
    <row r="489" spans="1:46" ht="40.5" customHeight="1" x14ac:dyDescent="0.25">
      <c r="A489" s="8" t="s">
        <v>58</v>
      </c>
      <c r="B489" s="2" t="s">
        <v>3711</v>
      </c>
      <c r="C489" s="2" t="s">
        <v>3712</v>
      </c>
      <c r="D489" s="2" t="s">
        <v>3713</v>
      </c>
      <c r="F489" s="3" t="s">
        <v>58</v>
      </c>
      <c r="G489" s="3" t="s">
        <v>59</v>
      </c>
      <c r="H489" s="3" t="s">
        <v>58</v>
      </c>
      <c r="I489" s="3" t="s">
        <v>58</v>
      </c>
      <c r="J489" s="3" t="s">
        <v>60</v>
      </c>
      <c r="L489" s="2" t="s">
        <v>3714</v>
      </c>
      <c r="M489" s="3" t="s">
        <v>892</v>
      </c>
      <c r="N489" s="2" t="s">
        <v>143</v>
      </c>
      <c r="O489" s="3" t="s">
        <v>64</v>
      </c>
      <c r="P489" s="3" t="s">
        <v>685</v>
      </c>
      <c r="R489" s="3" t="s">
        <v>1346</v>
      </c>
      <c r="S489" s="4">
        <v>1</v>
      </c>
      <c r="T489" s="4">
        <v>1</v>
      </c>
      <c r="U489" s="5" t="s">
        <v>3715</v>
      </c>
      <c r="V489" s="5" t="s">
        <v>3715</v>
      </c>
      <c r="W489" s="5" t="s">
        <v>3716</v>
      </c>
      <c r="X489" s="5" t="s">
        <v>3716</v>
      </c>
      <c r="Y489" s="4">
        <v>120</v>
      </c>
      <c r="Z489" s="4">
        <v>88</v>
      </c>
      <c r="AA489" s="4">
        <v>256</v>
      </c>
      <c r="AB489" s="4">
        <v>1</v>
      </c>
      <c r="AC489" s="4">
        <v>1</v>
      </c>
      <c r="AD489" s="4">
        <v>1</v>
      </c>
      <c r="AE489" s="4">
        <v>8</v>
      </c>
      <c r="AF489" s="4">
        <v>0</v>
      </c>
      <c r="AG489" s="4">
        <v>4</v>
      </c>
      <c r="AH489" s="4">
        <v>1</v>
      </c>
      <c r="AI489" s="4">
        <v>4</v>
      </c>
      <c r="AJ489" s="4">
        <v>0</v>
      </c>
      <c r="AK489" s="4">
        <v>1</v>
      </c>
      <c r="AL489" s="4">
        <v>0</v>
      </c>
      <c r="AM489" s="4">
        <v>0</v>
      </c>
      <c r="AN489" s="4">
        <v>0</v>
      </c>
      <c r="AO489" s="4">
        <v>0</v>
      </c>
      <c r="AP489" s="3" t="s">
        <v>58</v>
      </c>
      <c r="AQ489" s="3" t="s">
        <v>115</v>
      </c>
      <c r="AR489" s="6" t="str">
        <f>HYPERLINK("http://catalog.hathitrust.org/Record/003252836","HathiTrust Record")</f>
        <v>HathiTrust Record</v>
      </c>
      <c r="AS489" s="6" t="str">
        <f>HYPERLINK("https://creighton-primo.hosted.exlibrisgroup.com/primo-explore/search?tab=default_tab&amp;search_scope=EVERYTHING&amp;vid=01CRU&amp;lang=en_US&amp;offset=0&amp;query=any,contains,991001565419702656","Catalog Record")</f>
        <v>Catalog Record</v>
      </c>
      <c r="AT489" s="6" t="str">
        <f>HYPERLINK("http://www.worldcat.org/oclc/38750587","WorldCat Record")</f>
        <v>WorldCat Record</v>
      </c>
    </row>
    <row r="490" spans="1:46" ht="40.5" customHeight="1" x14ac:dyDescent="0.25">
      <c r="A490" s="8" t="s">
        <v>58</v>
      </c>
      <c r="B490" s="2" t="s">
        <v>3717</v>
      </c>
      <c r="C490" s="2" t="s">
        <v>3718</v>
      </c>
      <c r="D490" s="2" t="s">
        <v>3719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K490" s="2" t="s">
        <v>3720</v>
      </c>
      <c r="L490" s="2" t="s">
        <v>3721</v>
      </c>
      <c r="M490" s="3" t="s">
        <v>189</v>
      </c>
      <c r="O490" s="3" t="s">
        <v>64</v>
      </c>
      <c r="P490" s="3" t="s">
        <v>3442</v>
      </c>
      <c r="R490" s="3" t="s">
        <v>1346</v>
      </c>
      <c r="S490" s="4">
        <v>3</v>
      </c>
      <c r="T490" s="4">
        <v>3</v>
      </c>
      <c r="U490" s="5" t="s">
        <v>3722</v>
      </c>
      <c r="V490" s="5" t="s">
        <v>3722</v>
      </c>
      <c r="W490" s="5" t="s">
        <v>3723</v>
      </c>
      <c r="X490" s="5" t="s">
        <v>3723</v>
      </c>
      <c r="Y490" s="4">
        <v>4</v>
      </c>
      <c r="Z490" s="4">
        <v>4</v>
      </c>
      <c r="AA490" s="4">
        <v>4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3" t="s">
        <v>58</v>
      </c>
      <c r="AQ490" s="3" t="s">
        <v>58</v>
      </c>
      <c r="AS490" s="6" t="str">
        <f>HYPERLINK("https://creighton-primo.hosted.exlibrisgroup.com/primo-explore/search?tab=default_tab&amp;search_scope=EVERYTHING&amp;vid=01CRU&amp;lang=en_US&amp;offset=0&amp;query=any,contains,991000275539702656","Catalog Record")</f>
        <v>Catalog Record</v>
      </c>
      <c r="AT490" s="6" t="str">
        <f>HYPERLINK("http://www.worldcat.org/oclc/32297708","WorldCat Record")</f>
        <v>WorldCat Record</v>
      </c>
    </row>
    <row r="491" spans="1:46" ht="40.5" customHeight="1" x14ac:dyDescent="0.25">
      <c r="A491" s="8" t="s">
        <v>58</v>
      </c>
      <c r="B491" s="2" t="s">
        <v>3724</v>
      </c>
      <c r="C491" s="2" t="s">
        <v>3725</v>
      </c>
      <c r="D491" s="2" t="s">
        <v>3726</v>
      </c>
      <c r="F491" s="3" t="s">
        <v>58</v>
      </c>
      <c r="G491" s="3" t="s">
        <v>59</v>
      </c>
      <c r="H491" s="3" t="s">
        <v>58</v>
      </c>
      <c r="I491" s="3" t="s">
        <v>58</v>
      </c>
      <c r="J491" s="3" t="s">
        <v>60</v>
      </c>
      <c r="K491" s="2" t="s">
        <v>3727</v>
      </c>
      <c r="L491" s="2" t="s">
        <v>3728</v>
      </c>
      <c r="M491" s="3" t="s">
        <v>290</v>
      </c>
      <c r="O491" s="3" t="s">
        <v>64</v>
      </c>
      <c r="P491" s="3" t="s">
        <v>2809</v>
      </c>
      <c r="R491" s="3" t="s">
        <v>1346</v>
      </c>
      <c r="S491" s="4">
        <v>0</v>
      </c>
      <c r="T491" s="4">
        <v>0</v>
      </c>
      <c r="U491" s="5" t="s">
        <v>3099</v>
      </c>
      <c r="V491" s="5" t="s">
        <v>3099</v>
      </c>
      <c r="W491" s="5" t="s">
        <v>3729</v>
      </c>
      <c r="X491" s="5" t="s">
        <v>3729</v>
      </c>
      <c r="Y491" s="4">
        <v>12</v>
      </c>
      <c r="Z491" s="4">
        <v>9</v>
      </c>
      <c r="AA491" s="4">
        <v>11</v>
      </c>
      <c r="AB491" s="4">
        <v>1</v>
      </c>
      <c r="AC491" s="4">
        <v>1</v>
      </c>
      <c r="AD491" s="4">
        <v>1</v>
      </c>
      <c r="AE491" s="4">
        <v>1</v>
      </c>
      <c r="AF491" s="4">
        <v>0</v>
      </c>
      <c r="AG491" s="4">
        <v>0</v>
      </c>
      <c r="AH491" s="4">
        <v>0</v>
      </c>
      <c r="AI491" s="4">
        <v>0</v>
      </c>
      <c r="AJ491" s="4">
        <v>1</v>
      </c>
      <c r="AK491" s="4">
        <v>1</v>
      </c>
      <c r="AL491" s="4">
        <v>0</v>
      </c>
      <c r="AM491" s="4">
        <v>0</v>
      </c>
      <c r="AN491" s="4">
        <v>0</v>
      </c>
      <c r="AO491" s="4">
        <v>0</v>
      </c>
      <c r="AP491" s="3" t="s">
        <v>58</v>
      </c>
      <c r="AQ491" s="3" t="s">
        <v>115</v>
      </c>
      <c r="AR491" s="6" t="str">
        <f>HYPERLINK("http://catalog.hathitrust.org/Record/003950017","HathiTrust Record")</f>
        <v>HathiTrust Record</v>
      </c>
      <c r="AS491" s="6" t="str">
        <f>HYPERLINK("https://creighton-primo.hosted.exlibrisgroup.com/primo-explore/search?tab=default_tab&amp;search_scope=EVERYTHING&amp;vid=01CRU&amp;lang=en_US&amp;offset=0&amp;query=any,contains,991001244329702656","Catalog Record")</f>
        <v>Catalog Record</v>
      </c>
      <c r="AT491" s="6" t="str">
        <f>HYPERLINK("http://www.worldcat.org/oclc/19412466","WorldCat Record")</f>
        <v>WorldCat Record</v>
      </c>
    </row>
    <row r="492" spans="1:46" ht="40.5" customHeight="1" x14ac:dyDescent="0.25">
      <c r="A492" s="8" t="s">
        <v>58</v>
      </c>
      <c r="B492" s="2" t="s">
        <v>3730</v>
      </c>
      <c r="C492" s="2" t="s">
        <v>3731</v>
      </c>
      <c r="D492" s="2" t="s">
        <v>3732</v>
      </c>
      <c r="E492" s="3" t="s">
        <v>480</v>
      </c>
      <c r="F492" s="3" t="s">
        <v>115</v>
      </c>
      <c r="G492" s="3" t="s">
        <v>59</v>
      </c>
      <c r="H492" s="3" t="s">
        <v>58</v>
      </c>
      <c r="I492" s="3" t="s">
        <v>58</v>
      </c>
      <c r="J492" s="3" t="s">
        <v>60</v>
      </c>
      <c r="L492" s="2" t="s">
        <v>3733</v>
      </c>
      <c r="M492" s="3" t="s">
        <v>290</v>
      </c>
      <c r="O492" s="3" t="s">
        <v>64</v>
      </c>
      <c r="P492" s="3" t="s">
        <v>1355</v>
      </c>
      <c r="R492" s="3" t="s">
        <v>1346</v>
      </c>
      <c r="S492" s="4">
        <v>4</v>
      </c>
      <c r="T492" s="4">
        <v>9</v>
      </c>
      <c r="U492" s="5" t="s">
        <v>3734</v>
      </c>
      <c r="V492" s="5" t="s">
        <v>3734</v>
      </c>
      <c r="W492" s="5" t="s">
        <v>2169</v>
      </c>
      <c r="X492" s="5" t="s">
        <v>2169</v>
      </c>
      <c r="Y492" s="4">
        <v>117</v>
      </c>
      <c r="Z492" s="4">
        <v>87</v>
      </c>
      <c r="AA492" s="4">
        <v>89</v>
      </c>
      <c r="AB492" s="4">
        <v>1</v>
      </c>
      <c r="AC492" s="4">
        <v>1</v>
      </c>
      <c r="AD492" s="4">
        <v>1</v>
      </c>
      <c r="AE492" s="4">
        <v>1</v>
      </c>
      <c r="AF492" s="4">
        <v>1</v>
      </c>
      <c r="AG492" s="4">
        <v>1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3" t="s">
        <v>58</v>
      </c>
      <c r="AQ492" s="3" t="s">
        <v>115</v>
      </c>
      <c r="AR492" s="6" t="str">
        <f>HYPERLINK("http://catalog.hathitrust.org/Record/000875059","HathiTrust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HYPERLINK("https://creighton-primo.hosted.exlibrisgroup.com/primo-explore/search?tab=default_tab&amp;search_scope=EVERYTHING&amp;vid=01CRU&amp;lang=en_US&amp;offset=0&amp;query=any,contains,991001417709702656","Catalog Record")</f>
        <v>Catalog Record</v>
      </c>
      <c r="AT492" s="6" t="str">
        <f>HYPERLINK("http://www.worldcat.org/oclc/15520654","WorldCat Record")</f>
        <v>WorldCat Record</v>
      </c>
    </row>
    <row r="493" spans="1:46" ht="40.5" customHeight="1" x14ac:dyDescent="0.25">
      <c r="A493" s="8" t="s">
        <v>58</v>
      </c>
      <c r="B493" s="2" t="s">
        <v>3730</v>
      </c>
      <c r="C493" s="2" t="s">
        <v>3731</v>
      </c>
      <c r="D493" s="2" t="s">
        <v>3732</v>
      </c>
      <c r="E493" s="3" t="s">
        <v>492</v>
      </c>
      <c r="F493" s="3" t="s">
        <v>115</v>
      </c>
      <c r="G493" s="3" t="s">
        <v>59</v>
      </c>
      <c r="H493" s="3" t="s">
        <v>58</v>
      </c>
      <c r="I493" s="3" t="s">
        <v>58</v>
      </c>
      <c r="J493" s="3" t="s">
        <v>60</v>
      </c>
      <c r="L493" s="2" t="s">
        <v>3733</v>
      </c>
      <c r="M493" s="3" t="s">
        <v>290</v>
      </c>
      <c r="O493" s="3" t="s">
        <v>64</v>
      </c>
      <c r="P493" s="3" t="s">
        <v>1355</v>
      </c>
      <c r="R493" s="3" t="s">
        <v>1346</v>
      </c>
      <c r="S493" s="4">
        <v>5</v>
      </c>
      <c r="T493" s="4">
        <v>9</v>
      </c>
      <c r="U493" s="5" t="s">
        <v>3734</v>
      </c>
      <c r="V493" s="5" t="s">
        <v>3734</v>
      </c>
      <c r="W493" s="5" t="s">
        <v>2169</v>
      </c>
      <c r="X493" s="5" t="s">
        <v>2169</v>
      </c>
      <c r="Y493" s="4">
        <v>117</v>
      </c>
      <c r="Z493" s="4">
        <v>87</v>
      </c>
      <c r="AA493" s="4">
        <v>89</v>
      </c>
      <c r="AB493" s="4">
        <v>1</v>
      </c>
      <c r="AC493" s="4">
        <v>1</v>
      </c>
      <c r="AD493" s="4">
        <v>1</v>
      </c>
      <c r="AE493" s="4">
        <v>1</v>
      </c>
      <c r="AF493" s="4">
        <v>1</v>
      </c>
      <c r="AG493" s="4">
        <v>1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3" t="s">
        <v>58</v>
      </c>
      <c r="AQ493" s="3" t="s">
        <v>115</v>
      </c>
      <c r="AR493" s="6" t="str">
        <f>HYPERLINK("http://catalog.hathitrust.org/Record/000875059","HathiTrust Record")</f>
        <v>HathiTrust Record</v>
      </c>
      <c r="AS493" s="6" t="str">
        <f>HYPERLINK("https://creighton-primo.hosted.exlibrisgroup.com/primo-explore/search?tab=default_tab&amp;search_scope=EVERYTHING&amp;vid=01CRU&amp;lang=en_US&amp;offset=0&amp;query=any,contains,991001417709702656","Catalog Record")</f>
        <v>Catalog Record</v>
      </c>
      <c r="AT493" s="6" t="str">
        <f>HYPERLINK("http://www.worldcat.org/oclc/15520654","WorldCat Record")</f>
        <v>WorldCat Record</v>
      </c>
    </row>
    <row r="494" spans="1:46" ht="40.5" customHeight="1" x14ac:dyDescent="0.25">
      <c r="A494" s="8" t="s">
        <v>58</v>
      </c>
      <c r="B494" s="2" t="s">
        <v>3735</v>
      </c>
      <c r="C494" s="2" t="s">
        <v>3736</v>
      </c>
      <c r="D494" s="2" t="s">
        <v>3737</v>
      </c>
      <c r="E494" s="3" t="s">
        <v>3738</v>
      </c>
      <c r="F494" s="3" t="s">
        <v>58</v>
      </c>
      <c r="G494" s="3" t="s">
        <v>59</v>
      </c>
      <c r="H494" s="3" t="s">
        <v>58</v>
      </c>
      <c r="I494" s="3" t="s">
        <v>58</v>
      </c>
      <c r="J494" s="3" t="s">
        <v>60</v>
      </c>
      <c r="L494" s="2" t="s">
        <v>3739</v>
      </c>
      <c r="M494" s="3" t="s">
        <v>725</v>
      </c>
      <c r="O494" s="3" t="s">
        <v>64</v>
      </c>
      <c r="P494" s="3" t="s">
        <v>585</v>
      </c>
      <c r="Q494" s="2" t="s">
        <v>3740</v>
      </c>
      <c r="R494" s="3" t="s">
        <v>1346</v>
      </c>
      <c r="S494" s="4">
        <v>3</v>
      </c>
      <c r="T494" s="4">
        <v>3</v>
      </c>
      <c r="U494" s="5" t="s">
        <v>3741</v>
      </c>
      <c r="V494" s="5" t="s">
        <v>3741</v>
      </c>
      <c r="W494" s="5" t="s">
        <v>3664</v>
      </c>
      <c r="X494" s="5" t="s">
        <v>3664</v>
      </c>
      <c r="Y494" s="4">
        <v>181</v>
      </c>
      <c r="Z494" s="4">
        <v>110</v>
      </c>
      <c r="AA494" s="4">
        <v>113</v>
      </c>
      <c r="AB494" s="4">
        <v>1</v>
      </c>
      <c r="AC494" s="4">
        <v>1</v>
      </c>
      <c r="AD494" s="4">
        <v>2</v>
      </c>
      <c r="AE494" s="4">
        <v>2</v>
      </c>
      <c r="AF494" s="4">
        <v>0</v>
      </c>
      <c r="AG494" s="4">
        <v>0</v>
      </c>
      <c r="AH494" s="4">
        <v>2</v>
      </c>
      <c r="AI494" s="4">
        <v>2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3" t="s">
        <v>58</v>
      </c>
      <c r="AQ494" s="3" t="s">
        <v>115</v>
      </c>
      <c r="AR494" s="6" t="str">
        <f>HYPERLINK("http://catalog.hathitrust.org/Record/000767926","HathiTrust Record")</f>
        <v>HathiTrust Record</v>
      </c>
      <c r="AS494" s="6" t="str">
        <f>HYPERLINK("https://creighton-primo.hosted.exlibrisgroup.com/primo-explore/search?tab=default_tab&amp;search_scope=EVERYTHING&amp;vid=01CRU&amp;lang=en_US&amp;offset=0&amp;query=any,contains,991000960419702656","Catalog Record")</f>
        <v>Catalog Record</v>
      </c>
      <c r="AT494" s="6" t="str">
        <f>HYPERLINK("http://www.worldcat.org/oclc/8132563","WorldCat Record")</f>
        <v>WorldCat Record</v>
      </c>
    </row>
    <row r="495" spans="1:46" ht="40.5" customHeight="1" x14ac:dyDescent="0.25">
      <c r="A495" s="8" t="s">
        <v>58</v>
      </c>
      <c r="B495" s="2" t="s">
        <v>3742</v>
      </c>
      <c r="C495" s="2" t="s">
        <v>3743</v>
      </c>
      <c r="D495" s="2" t="s">
        <v>3744</v>
      </c>
      <c r="F495" s="3" t="s">
        <v>58</v>
      </c>
      <c r="G495" s="3" t="s">
        <v>59</v>
      </c>
      <c r="H495" s="3" t="s">
        <v>58</v>
      </c>
      <c r="I495" s="3" t="s">
        <v>58</v>
      </c>
      <c r="J495" s="3" t="s">
        <v>60</v>
      </c>
      <c r="L495" s="2" t="s">
        <v>3745</v>
      </c>
      <c r="M495" s="3" t="s">
        <v>1122</v>
      </c>
      <c r="O495" s="3" t="s">
        <v>64</v>
      </c>
      <c r="P495" s="3" t="s">
        <v>1512</v>
      </c>
      <c r="Q495" s="2" t="s">
        <v>3746</v>
      </c>
      <c r="R495" s="3" t="s">
        <v>1346</v>
      </c>
      <c r="S495" s="4">
        <v>4</v>
      </c>
      <c r="T495" s="4">
        <v>4</v>
      </c>
      <c r="U495" s="5" t="s">
        <v>3747</v>
      </c>
      <c r="V495" s="5" t="s">
        <v>3747</v>
      </c>
      <c r="W495" s="5" t="s">
        <v>3748</v>
      </c>
      <c r="X495" s="5" t="s">
        <v>3748</v>
      </c>
      <c r="Y495" s="4">
        <v>109</v>
      </c>
      <c r="Z495" s="4">
        <v>71</v>
      </c>
      <c r="AA495" s="4">
        <v>73</v>
      </c>
      <c r="AB495" s="4">
        <v>1</v>
      </c>
      <c r="AC495" s="4">
        <v>1</v>
      </c>
      <c r="AD495" s="4">
        <v>1</v>
      </c>
      <c r="AE495" s="4">
        <v>1</v>
      </c>
      <c r="AF495" s="4">
        <v>0</v>
      </c>
      <c r="AG495" s="4">
        <v>0</v>
      </c>
      <c r="AH495" s="4">
        <v>1</v>
      </c>
      <c r="AI495" s="4">
        <v>1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3" t="s">
        <v>58</v>
      </c>
      <c r="AQ495" s="3" t="s">
        <v>115</v>
      </c>
      <c r="AR495" s="6" t="str">
        <f>HYPERLINK("http://catalog.hathitrust.org/Record/002233577","HathiTrust Record")</f>
        <v>HathiTrust Record</v>
      </c>
      <c r="AS495" s="6" t="str">
        <f>HYPERLINK("https://creighton-primo.hosted.exlibrisgroup.com/primo-explore/search?tab=default_tab&amp;search_scope=EVERYTHING&amp;vid=01CRU&amp;lang=en_US&amp;offset=0&amp;query=any,contains,991000816339702656","Catalog Record")</f>
        <v>Catalog Record</v>
      </c>
      <c r="AT495" s="6" t="str">
        <f>HYPERLINK("http://www.worldcat.org/oclc/22005487","WorldCat Record")</f>
        <v>WorldCat Record</v>
      </c>
    </row>
    <row r="496" spans="1:46" ht="40.5" customHeight="1" x14ac:dyDescent="0.25">
      <c r="A496" s="8" t="s">
        <v>58</v>
      </c>
      <c r="B496" s="2" t="s">
        <v>3749</v>
      </c>
      <c r="C496" s="2" t="s">
        <v>3750</v>
      </c>
      <c r="D496" s="2" t="s">
        <v>3751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60</v>
      </c>
      <c r="L496" s="2" t="s">
        <v>3752</v>
      </c>
      <c r="M496" s="3" t="s">
        <v>1122</v>
      </c>
      <c r="N496" s="2" t="s">
        <v>174</v>
      </c>
      <c r="O496" s="3" t="s">
        <v>64</v>
      </c>
      <c r="P496" s="3" t="s">
        <v>144</v>
      </c>
      <c r="R496" s="3" t="s">
        <v>1346</v>
      </c>
      <c r="S496" s="4">
        <v>1</v>
      </c>
      <c r="T496" s="4">
        <v>1</v>
      </c>
      <c r="U496" s="5" t="s">
        <v>3753</v>
      </c>
      <c r="V496" s="5" t="s">
        <v>3753</v>
      </c>
      <c r="W496" s="5" t="s">
        <v>3753</v>
      </c>
      <c r="X496" s="5" t="s">
        <v>3753</v>
      </c>
      <c r="Y496" s="4">
        <v>54</v>
      </c>
      <c r="Z496" s="4">
        <v>46</v>
      </c>
      <c r="AA496" s="4">
        <v>48</v>
      </c>
      <c r="AB496" s="4">
        <v>1</v>
      </c>
      <c r="AC496" s="4">
        <v>1</v>
      </c>
      <c r="AD496" s="4">
        <v>1</v>
      </c>
      <c r="AE496" s="4">
        <v>1</v>
      </c>
      <c r="AF496" s="4">
        <v>0</v>
      </c>
      <c r="AG496" s="4">
        <v>0</v>
      </c>
      <c r="AH496" s="4">
        <v>1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3" t="s">
        <v>58</v>
      </c>
      <c r="AQ496" s="3" t="s">
        <v>115</v>
      </c>
      <c r="AR496" s="6" t="str">
        <f>HYPERLINK("http://catalog.hathitrust.org/Record/003253660","HathiTrust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HYPERLINK("https://creighton-primo.hosted.exlibrisgroup.com/primo-explore/search?tab=default_tab&amp;search_scope=EVERYTHING&amp;vid=01CRU&amp;lang=en_US&amp;offset=0&amp;query=any,contains,991000770859702656","Catalog Record")</f>
        <v>Catalog Record</v>
      </c>
      <c r="AT496" s="6" t="str">
        <f>HYPERLINK("http://www.worldcat.org/oclc/22372109","WorldCat Record")</f>
        <v>WorldCat Record</v>
      </c>
    </row>
    <row r="497" spans="1:46" ht="40.5" customHeight="1" x14ac:dyDescent="0.25">
      <c r="A497" s="8" t="s">
        <v>58</v>
      </c>
      <c r="B497" s="2" t="s">
        <v>3754</v>
      </c>
      <c r="C497" s="2" t="s">
        <v>3755</v>
      </c>
      <c r="D497" s="2" t="s">
        <v>3756</v>
      </c>
      <c r="F497" s="3" t="s">
        <v>58</v>
      </c>
      <c r="G497" s="3" t="s">
        <v>59</v>
      </c>
      <c r="H497" s="3" t="s">
        <v>58</v>
      </c>
      <c r="I497" s="3" t="s">
        <v>58</v>
      </c>
      <c r="J497" s="3" t="s">
        <v>60</v>
      </c>
      <c r="K497" s="2" t="s">
        <v>3757</v>
      </c>
      <c r="L497" s="2" t="s">
        <v>3758</v>
      </c>
      <c r="M497" s="3" t="s">
        <v>1899</v>
      </c>
      <c r="O497" s="3" t="s">
        <v>64</v>
      </c>
      <c r="P497" s="3" t="s">
        <v>65</v>
      </c>
      <c r="R497" s="3" t="s">
        <v>1346</v>
      </c>
      <c r="S497" s="4">
        <v>0</v>
      </c>
      <c r="T497" s="4">
        <v>0</v>
      </c>
      <c r="U497" s="5" t="s">
        <v>2880</v>
      </c>
      <c r="V497" s="5" t="s">
        <v>2880</v>
      </c>
      <c r="W497" s="5" t="s">
        <v>2880</v>
      </c>
      <c r="X497" s="5" t="s">
        <v>2880</v>
      </c>
      <c r="Y497" s="4">
        <v>23</v>
      </c>
      <c r="Z497" s="4">
        <v>16</v>
      </c>
      <c r="AA497" s="4">
        <v>16</v>
      </c>
      <c r="AB497" s="4">
        <v>1</v>
      </c>
      <c r="AC497" s="4">
        <v>1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3" t="s">
        <v>58</v>
      </c>
      <c r="AQ497" s="3" t="s">
        <v>58</v>
      </c>
      <c r="AS497" s="6" t="str">
        <f>HYPERLINK("https://creighton-primo.hosted.exlibrisgroup.com/primo-explore/search?tab=default_tab&amp;search_scope=EVERYTHING&amp;vid=01CRU&amp;lang=en_US&amp;offset=0&amp;query=any,contains,991001462009702656","Catalog Record")</f>
        <v>Catalog Record</v>
      </c>
      <c r="AT497" s="6" t="str">
        <f>HYPERLINK("http://www.worldcat.org/oclc/221220296","WorldCat Record")</f>
        <v>WorldCat Record</v>
      </c>
    </row>
    <row r="498" spans="1:46" ht="40.5" customHeight="1" x14ac:dyDescent="0.25">
      <c r="A498" s="8" t="s">
        <v>58</v>
      </c>
      <c r="B498" s="2" t="s">
        <v>3759</v>
      </c>
      <c r="C498" s="2" t="s">
        <v>3760</v>
      </c>
      <c r="D498" s="2" t="s">
        <v>3761</v>
      </c>
      <c r="F498" s="3" t="s">
        <v>58</v>
      </c>
      <c r="G498" s="3" t="s">
        <v>59</v>
      </c>
      <c r="H498" s="3" t="s">
        <v>58</v>
      </c>
      <c r="I498" s="3" t="s">
        <v>58</v>
      </c>
      <c r="J498" s="3" t="s">
        <v>60</v>
      </c>
      <c r="K498" s="2" t="s">
        <v>3762</v>
      </c>
      <c r="L498" s="2" t="s">
        <v>3763</v>
      </c>
      <c r="M498" s="3" t="s">
        <v>725</v>
      </c>
      <c r="O498" s="3" t="s">
        <v>64</v>
      </c>
      <c r="P498" s="3" t="s">
        <v>65</v>
      </c>
      <c r="R498" s="3" t="s">
        <v>1346</v>
      </c>
      <c r="S498" s="4">
        <v>2</v>
      </c>
      <c r="T498" s="4">
        <v>2</v>
      </c>
      <c r="U498" s="5" t="s">
        <v>3764</v>
      </c>
      <c r="V498" s="5" t="s">
        <v>3764</v>
      </c>
      <c r="W498" s="5" t="s">
        <v>3664</v>
      </c>
      <c r="X498" s="5" t="s">
        <v>3664</v>
      </c>
      <c r="Y498" s="4">
        <v>98</v>
      </c>
      <c r="Z498" s="4">
        <v>73</v>
      </c>
      <c r="AA498" s="4">
        <v>75</v>
      </c>
      <c r="AB498" s="4">
        <v>1</v>
      </c>
      <c r="AC498" s="4">
        <v>1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3" t="s">
        <v>58</v>
      </c>
      <c r="AQ498" s="3" t="s">
        <v>115</v>
      </c>
      <c r="AR498" s="6" t="str">
        <f>HYPERLINK("http://catalog.hathitrust.org/Record/000319459","HathiTrust Record")</f>
        <v>HathiTrust Record</v>
      </c>
      <c r="AS498" s="6" t="str">
        <f>HYPERLINK("https://creighton-primo.hosted.exlibrisgroup.com/primo-explore/search?tab=default_tab&amp;search_scope=EVERYTHING&amp;vid=01CRU&amp;lang=en_US&amp;offset=0&amp;query=any,contains,991000960339702656","Catalog Record")</f>
        <v>Catalog Record</v>
      </c>
      <c r="AT498" s="6" t="str">
        <f>HYPERLINK("http://www.worldcat.org/oclc/8533462","WorldCat Record")</f>
        <v>WorldCat Record</v>
      </c>
    </row>
    <row r="499" spans="1:46" ht="40.5" customHeight="1" x14ac:dyDescent="0.25">
      <c r="A499" s="8" t="s">
        <v>58</v>
      </c>
      <c r="B499" s="2" t="s">
        <v>3765</v>
      </c>
      <c r="C499" s="2" t="s">
        <v>3766</v>
      </c>
      <c r="D499" s="2" t="s">
        <v>3767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60</v>
      </c>
      <c r="L499" s="2" t="s">
        <v>3768</v>
      </c>
      <c r="M499" s="3" t="s">
        <v>189</v>
      </c>
      <c r="O499" s="3" t="s">
        <v>64</v>
      </c>
      <c r="P499" s="3" t="s">
        <v>585</v>
      </c>
      <c r="Q499" s="2" t="s">
        <v>3769</v>
      </c>
      <c r="R499" s="3" t="s">
        <v>1346</v>
      </c>
      <c r="S499" s="4">
        <v>3</v>
      </c>
      <c r="T499" s="4">
        <v>3</v>
      </c>
      <c r="U499" s="5" t="s">
        <v>3770</v>
      </c>
      <c r="V499" s="5" t="s">
        <v>3770</v>
      </c>
      <c r="W499" s="5" t="s">
        <v>1778</v>
      </c>
      <c r="X499" s="5" t="s">
        <v>1778</v>
      </c>
      <c r="Y499" s="4">
        <v>55</v>
      </c>
      <c r="Z499" s="4">
        <v>42</v>
      </c>
      <c r="AA499" s="4">
        <v>82</v>
      </c>
      <c r="AB499" s="4">
        <v>1</v>
      </c>
      <c r="AC499" s="4">
        <v>1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3" t="s">
        <v>58</v>
      </c>
      <c r="AQ499" s="3" t="s">
        <v>58</v>
      </c>
      <c r="AS499" s="6" t="str">
        <f>HYPERLINK("https://creighton-primo.hosted.exlibrisgroup.com/primo-explore/search?tab=default_tab&amp;search_scope=EVERYTHING&amp;vid=01CRU&amp;lang=en_US&amp;offset=0&amp;query=any,contains,991001512589702656","Catalog Record")</f>
        <v>Catalog Record</v>
      </c>
      <c r="AT499" s="6" t="str">
        <f>HYPERLINK("http://www.worldcat.org/oclc/26674950","WorldCat Record")</f>
        <v>WorldCat Record</v>
      </c>
    </row>
    <row r="500" spans="1:46" ht="40.5" customHeight="1" x14ac:dyDescent="0.25">
      <c r="A500" s="8" t="s">
        <v>58</v>
      </c>
      <c r="B500" s="2" t="s">
        <v>3771</v>
      </c>
      <c r="C500" s="2" t="s">
        <v>3772</v>
      </c>
      <c r="D500" s="2" t="s">
        <v>3773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60</v>
      </c>
      <c r="L500" s="2" t="s">
        <v>3774</v>
      </c>
      <c r="M500" s="3" t="s">
        <v>142</v>
      </c>
      <c r="O500" s="3" t="s">
        <v>64</v>
      </c>
      <c r="P500" s="3" t="s">
        <v>190</v>
      </c>
      <c r="Q500" s="2" t="s">
        <v>3775</v>
      </c>
      <c r="R500" s="3" t="s">
        <v>1346</v>
      </c>
      <c r="S500" s="4">
        <v>2</v>
      </c>
      <c r="T500" s="4">
        <v>2</v>
      </c>
      <c r="U500" s="5" t="s">
        <v>2048</v>
      </c>
      <c r="V500" s="5" t="s">
        <v>2048</v>
      </c>
      <c r="W500" s="5" t="s">
        <v>2048</v>
      </c>
      <c r="X500" s="5" t="s">
        <v>2048</v>
      </c>
      <c r="Y500" s="4">
        <v>76</v>
      </c>
      <c r="Z500" s="4">
        <v>60</v>
      </c>
      <c r="AA500" s="4">
        <v>86</v>
      </c>
      <c r="AB500" s="4">
        <v>1</v>
      </c>
      <c r="AC500" s="4">
        <v>1</v>
      </c>
      <c r="AD500" s="4">
        <v>1</v>
      </c>
      <c r="AE500" s="4">
        <v>1</v>
      </c>
      <c r="AF500" s="4">
        <v>0</v>
      </c>
      <c r="AG500" s="4">
        <v>0</v>
      </c>
      <c r="AH500" s="4">
        <v>1</v>
      </c>
      <c r="AI500" s="4">
        <v>1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3" t="s">
        <v>58</v>
      </c>
      <c r="AQ500" s="3" t="s">
        <v>58</v>
      </c>
      <c r="AS500" s="6" t="str">
        <f>HYPERLINK("https://creighton-primo.hosted.exlibrisgroup.com/primo-explore/search?tab=default_tab&amp;search_scope=EVERYTHING&amp;vid=01CRU&amp;lang=en_US&amp;offset=0&amp;query=any,contains,991001301319702656","Catalog Record")</f>
        <v>Catalog Record</v>
      </c>
      <c r="AT500" s="6" t="str">
        <f>HYPERLINK("http://www.worldcat.org/oclc/23691473","WorldCat Record")</f>
        <v>WorldCat Record</v>
      </c>
    </row>
    <row r="501" spans="1:46" ht="40.5" customHeight="1" x14ac:dyDescent="0.25">
      <c r="A501" s="8" t="s">
        <v>58</v>
      </c>
      <c r="B501" s="2" t="s">
        <v>3776</v>
      </c>
      <c r="C501" s="2" t="s">
        <v>3777</v>
      </c>
      <c r="D501" s="2" t="s">
        <v>3778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60</v>
      </c>
      <c r="L501" s="2" t="s">
        <v>3779</v>
      </c>
      <c r="M501" s="3" t="s">
        <v>142</v>
      </c>
      <c r="O501" s="3" t="s">
        <v>64</v>
      </c>
      <c r="P501" s="3" t="s">
        <v>1355</v>
      </c>
      <c r="R501" s="3" t="s">
        <v>1346</v>
      </c>
      <c r="S501" s="4">
        <v>6</v>
      </c>
      <c r="T501" s="4">
        <v>6</v>
      </c>
      <c r="U501" s="5" t="s">
        <v>3780</v>
      </c>
      <c r="V501" s="5" t="s">
        <v>3780</v>
      </c>
      <c r="W501" s="5" t="s">
        <v>3781</v>
      </c>
      <c r="X501" s="5" t="s">
        <v>3781</v>
      </c>
      <c r="Y501" s="4">
        <v>154</v>
      </c>
      <c r="Z501" s="4">
        <v>111</v>
      </c>
      <c r="AA501" s="4">
        <v>117</v>
      </c>
      <c r="AB501" s="4">
        <v>1</v>
      </c>
      <c r="AC501" s="4">
        <v>1</v>
      </c>
      <c r="AD501" s="4">
        <v>1</v>
      </c>
      <c r="AE501" s="4">
        <v>1</v>
      </c>
      <c r="AF501" s="4">
        <v>1</v>
      </c>
      <c r="AG501" s="4">
        <v>1</v>
      </c>
      <c r="AH501" s="4">
        <v>1</v>
      </c>
      <c r="AI501" s="4">
        <v>1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3" t="s">
        <v>58</v>
      </c>
      <c r="AQ501" s="3" t="s">
        <v>58</v>
      </c>
      <c r="AS501" s="6" t="str">
        <f>HYPERLINK("https://creighton-primo.hosted.exlibrisgroup.com/primo-explore/search?tab=default_tab&amp;search_scope=EVERYTHING&amp;vid=01CRU&amp;lang=en_US&amp;offset=0&amp;query=any,contains,991001017379702656","Catalog Record")</f>
        <v>Catalog Record</v>
      </c>
      <c r="AT501" s="6" t="str">
        <f>HYPERLINK("http://www.worldcat.org/oclc/21444204","WorldCat Record")</f>
        <v>WorldCat Record</v>
      </c>
    </row>
    <row r="502" spans="1:46" ht="40.5" customHeight="1" x14ac:dyDescent="0.25">
      <c r="A502" s="8" t="s">
        <v>58</v>
      </c>
      <c r="B502" s="2" t="s">
        <v>3782</v>
      </c>
      <c r="C502" s="2" t="s">
        <v>3783</v>
      </c>
      <c r="D502" s="2" t="s">
        <v>3784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60</v>
      </c>
      <c r="L502" s="2" t="s">
        <v>3785</v>
      </c>
      <c r="M502" s="3" t="s">
        <v>142</v>
      </c>
      <c r="O502" s="3" t="s">
        <v>64</v>
      </c>
      <c r="P502" s="3" t="s">
        <v>643</v>
      </c>
      <c r="R502" s="3" t="s">
        <v>1346</v>
      </c>
      <c r="S502" s="4">
        <v>4</v>
      </c>
      <c r="T502" s="4">
        <v>4</v>
      </c>
      <c r="U502" s="5" t="s">
        <v>3703</v>
      </c>
      <c r="V502" s="5" t="s">
        <v>3703</v>
      </c>
      <c r="W502" s="5" t="s">
        <v>3786</v>
      </c>
      <c r="X502" s="5" t="s">
        <v>3786</v>
      </c>
      <c r="Y502" s="4">
        <v>147</v>
      </c>
      <c r="Z502" s="4">
        <v>114</v>
      </c>
      <c r="AA502" s="4">
        <v>114</v>
      </c>
      <c r="AB502" s="4">
        <v>1</v>
      </c>
      <c r="AC502" s="4">
        <v>1</v>
      </c>
      <c r="AD502" s="4">
        <v>2</v>
      </c>
      <c r="AE502" s="4">
        <v>2</v>
      </c>
      <c r="AF502" s="4">
        <v>0</v>
      </c>
      <c r="AG502" s="4">
        <v>0</v>
      </c>
      <c r="AH502" s="4">
        <v>1</v>
      </c>
      <c r="AI502" s="4">
        <v>1</v>
      </c>
      <c r="AJ502" s="4">
        <v>1</v>
      </c>
      <c r="AK502" s="4">
        <v>1</v>
      </c>
      <c r="AL502" s="4">
        <v>0</v>
      </c>
      <c r="AM502" s="4">
        <v>0</v>
      </c>
      <c r="AN502" s="4">
        <v>0</v>
      </c>
      <c r="AO502" s="4">
        <v>0</v>
      </c>
      <c r="AP502" s="3" t="s">
        <v>58</v>
      </c>
      <c r="AQ502" s="3" t="s">
        <v>58</v>
      </c>
      <c r="AS502" s="6" t="str">
        <f>HYPERLINK("https://creighton-primo.hosted.exlibrisgroup.com/primo-explore/search?tab=default_tab&amp;search_scope=EVERYTHING&amp;vid=01CRU&amp;lang=en_US&amp;offset=0&amp;query=any,contains,991000813869702656","Catalog Record")</f>
        <v>Catalog Record</v>
      </c>
      <c r="AT502" s="6" t="str">
        <f>HYPERLINK("http://www.worldcat.org/oclc/22422590","WorldCat Record")</f>
        <v>WorldCat Record</v>
      </c>
    </row>
    <row r="503" spans="1:46" ht="40.5" customHeight="1" x14ac:dyDescent="0.25">
      <c r="A503" s="8" t="s">
        <v>58</v>
      </c>
      <c r="B503" s="2" t="s">
        <v>3787</v>
      </c>
      <c r="C503" s="2" t="s">
        <v>3788</v>
      </c>
      <c r="D503" s="2" t="s">
        <v>3789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60</v>
      </c>
      <c r="L503" s="2" t="s">
        <v>3790</v>
      </c>
      <c r="M503" s="3" t="s">
        <v>408</v>
      </c>
      <c r="O503" s="3" t="s">
        <v>64</v>
      </c>
      <c r="P503" s="3" t="s">
        <v>1355</v>
      </c>
      <c r="R503" s="3" t="s">
        <v>1346</v>
      </c>
      <c r="S503" s="4">
        <v>10</v>
      </c>
      <c r="T503" s="4">
        <v>10</v>
      </c>
      <c r="U503" s="5" t="s">
        <v>3791</v>
      </c>
      <c r="V503" s="5" t="s">
        <v>3791</v>
      </c>
      <c r="W503" s="5" t="s">
        <v>3664</v>
      </c>
      <c r="X503" s="5" t="s">
        <v>3664</v>
      </c>
      <c r="Y503" s="4">
        <v>301</v>
      </c>
      <c r="Z503" s="4">
        <v>221</v>
      </c>
      <c r="AA503" s="4">
        <v>245</v>
      </c>
      <c r="AB503" s="4">
        <v>2</v>
      </c>
      <c r="AC503" s="4">
        <v>2</v>
      </c>
      <c r="AD503" s="4">
        <v>6</v>
      </c>
      <c r="AE503" s="4">
        <v>7</v>
      </c>
      <c r="AF503" s="4">
        <v>0</v>
      </c>
      <c r="AG503" s="4">
        <v>1</v>
      </c>
      <c r="AH503" s="4">
        <v>2</v>
      </c>
      <c r="AI503" s="4">
        <v>2</v>
      </c>
      <c r="AJ503" s="4">
        <v>4</v>
      </c>
      <c r="AK503" s="4">
        <v>5</v>
      </c>
      <c r="AL503" s="4">
        <v>1</v>
      </c>
      <c r="AM503" s="4">
        <v>1</v>
      </c>
      <c r="AN503" s="4">
        <v>0</v>
      </c>
      <c r="AO503" s="4">
        <v>0</v>
      </c>
      <c r="AP503" s="3" t="s">
        <v>58</v>
      </c>
      <c r="AQ503" s="3" t="s">
        <v>115</v>
      </c>
      <c r="AR503" s="6" t="str">
        <f>HYPERLINK("http://catalog.hathitrust.org/Record/000651060","HathiTrust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HYPERLINK("https://creighton-primo.hosted.exlibrisgroup.com/primo-explore/search?tab=default_tab&amp;search_scope=EVERYTHING&amp;vid=01CRU&amp;lang=en_US&amp;offset=0&amp;query=any,contains,991000961079702656","Catalog Record")</f>
        <v>Catalog Record</v>
      </c>
      <c r="AT503" s="6" t="str">
        <f>HYPERLINK("http://www.worldcat.org/oclc/11234543","WorldCat Record")</f>
        <v>WorldCat Record</v>
      </c>
    </row>
    <row r="504" spans="1:46" ht="40.5" customHeight="1" x14ac:dyDescent="0.25">
      <c r="A504" s="8" t="s">
        <v>58</v>
      </c>
      <c r="B504" s="2" t="s">
        <v>3792</v>
      </c>
      <c r="C504" s="2" t="s">
        <v>3793</v>
      </c>
      <c r="D504" s="2" t="s">
        <v>3794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60</v>
      </c>
      <c r="L504" s="2" t="s">
        <v>3795</v>
      </c>
      <c r="M504" s="3" t="s">
        <v>1392</v>
      </c>
      <c r="O504" s="3" t="s">
        <v>64</v>
      </c>
      <c r="P504" s="3" t="s">
        <v>1355</v>
      </c>
      <c r="Q504" s="2" t="s">
        <v>3796</v>
      </c>
      <c r="R504" s="3" t="s">
        <v>1346</v>
      </c>
      <c r="S504" s="4">
        <v>2</v>
      </c>
      <c r="T504" s="4">
        <v>2</v>
      </c>
      <c r="U504" s="5" t="s">
        <v>3797</v>
      </c>
      <c r="V504" s="5" t="s">
        <v>3797</v>
      </c>
      <c r="W504" s="5" t="s">
        <v>3664</v>
      </c>
      <c r="X504" s="5" t="s">
        <v>3664</v>
      </c>
      <c r="Y504" s="4">
        <v>347</v>
      </c>
      <c r="Z504" s="4">
        <v>286</v>
      </c>
      <c r="AA504" s="4">
        <v>293</v>
      </c>
      <c r="AB504" s="4">
        <v>2</v>
      </c>
      <c r="AC504" s="4">
        <v>2</v>
      </c>
      <c r="AD504" s="4">
        <v>13</v>
      </c>
      <c r="AE504" s="4">
        <v>13</v>
      </c>
      <c r="AF504" s="4">
        <v>4</v>
      </c>
      <c r="AG504" s="4">
        <v>4</v>
      </c>
      <c r="AH504" s="4">
        <v>4</v>
      </c>
      <c r="AI504" s="4">
        <v>4</v>
      </c>
      <c r="AJ504" s="4">
        <v>9</v>
      </c>
      <c r="AK504" s="4">
        <v>9</v>
      </c>
      <c r="AL504" s="4">
        <v>1</v>
      </c>
      <c r="AM504" s="4">
        <v>1</v>
      </c>
      <c r="AN504" s="4">
        <v>0</v>
      </c>
      <c r="AO504" s="4">
        <v>0</v>
      </c>
      <c r="AP504" s="3" t="s">
        <v>58</v>
      </c>
      <c r="AQ504" s="3" t="s">
        <v>115</v>
      </c>
      <c r="AR504" s="6" t="str">
        <f>HYPERLINK("http://catalog.hathitrust.org/Record/000286616","HathiTrust Record")</f>
        <v>HathiTrust Record</v>
      </c>
      <c r="AS504" s="6" t="str">
        <f>HYPERLINK("https://creighton-primo.hosted.exlibrisgroup.com/primo-explore/search?tab=default_tab&amp;search_scope=EVERYTHING&amp;vid=01CRU&amp;lang=en_US&amp;offset=0&amp;query=any,contains,991000961259702656","Catalog Record")</f>
        <v>Catalog Record</v>
      </c>
      <c r="AT504" s="6" t="str">
        <f>HYPERLINK("http://www.worldcat.org/oclc/9685424","WorldCat Record")</f>
        <v>WorldCat Record</v>
      </c>
    </row>
    <row r="505" spans="1:46" ht="40.5" customHeight="1" x14ac:dyDescent="0.25">
      <c r="A505" s="8" t="s">
        <v>58</v>
      </c>
      <c r="B505" s="2" t="s">
        <v>3798</v>
      </c>
      <c r="C505" s="2" t="s">
        <v>3799</v>
      </c>
      <c r="D505" s="2" t="s">
        <v>3800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60</v>
      </c>
      <c r="L505" s="2" t="s">
        <v>3801</v>
      </c>
      <c r="M505" s="3" t="s">
        <v>290</v>
      </c>
      <c r="O505" s="3" t="s">
        <v>64</v>
      </c>
      <c r="P505" s="3" t="s">
        <v>112</v>
      </c>
      <c r="Q505" s="2" t="s">
        <v>3802</v>
      </c>
      <c r="R505" s="3" t="s">
        <v>1346</v>
      </c>
      <c r="S505" s="4">
        <v>8</v>
      </c>
      <c r="T505" s="4">
        <v>8</v>
      </c>
      <c r="U505" s="5" t="s">
        <v>3803</v>
      </c>
      <c r="V505" s="5" t="s">
        <v>3803</v>
      </c>
      <c r="W505" s="5" t="s">
        <v>3804</v>
      </c>
      <c r="X505" s="5" t="s">
        <v>3804</v>
      </c>
      <c r="Y505" s="4">
        <v>223</v>
      </c>
      <c r="Z505" s="4">
        <v>151</v>
      </c>
      <c r="AA505" s="4">
        <v>171</v>
      </c>
      <c r="AB505" s="4">
        <v>1</v>
      </c>
      <c r="AC505" s="4">
        <v>1</v>
      </c>
      <c r="AD505" s="4">
        <v>5</v>
      </c>
      <c r="AE505" s="4">
        <v>6</v>
      </c>
      <c r="AF505" s="4">
        <v>0</v>
      </c>
      <c r="AG505" s="4">
        <v>1</v>
      </c>
      <c r="AH505" s="4">
        <v>3</v>
      </c>
      <c r="AI505" s="4">
        <v>3</v>
      </c>
      <c r="AJ505" s="4">
        <v>3</v>
      </c>
      <c r="AK505" s="4">
        <v>4</v>
      </c>
      <c r="AL505" s="4">
        <v>0</v>
      </c>
      <c r="AM505" s="4">
        <v>0</v>
      </c>
      <c r="AN505" s="4">
        <v>0</v>
      </c>
      <c r="AO505" s="4">
        <v>0</v>
      </c>
      <c r="AP505" s="3" t="s">
        <v>58</v>
      </c>
      <c r="AQ505" s="3" t="s">
        <v>115</v>
      </c>
      <c r="AR505" s="6" t="str">
        <f>HYPERLINK("http://catalog.hathitrust.org/Record/000945735","HathiTrust Record")</f>
        <v>HathiTrust Record</v>
      </c>
      <c r="AS505" s="6" t="str">
        <f>HYPERLINK("https://creighton-primo.hosted.exlibrisgroup.com/primo-explore/search?tab=default_tab&amp;search_scope=EVERYTHING&amp;vid=01CRU&amp;lang=en_US&amp;offset=0&amp;query=any,contains,991001120979702656","Catalog Record")</f>
        <v>Catalog Record</v>
      </c>
      <c r="AT505" s="6" t="str">
        <f>HYPERLINK("http://www.worldcat.org/oclc/17354645","WorldCat Record")</f>
        <v>WorldCat Record</v>
      </c>
    </row>
    <row r="506" spans="1:46" ht="40.5" customHeight="1" x14ac:dyDescent="0.25">
      <c r="A506" s="8" t="s">
        <v>58</v>
      </c>
      <c r="B506" s="2" t="s">
        <v>3805</v>
      </c>
      <c r="C506" s="2" t="s">
        <v>3806</v>
      </c>
      <c r="D506" s="2" t="s">
        <v>3807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60</v>
      </c>
      <c r="L506" s="2" t="s">
        <v>3808</v>
      </c>
      <c r="M506" s="3" t="s">
        <v>408</v>
      </c>
      <c r="O506" s="3" t="s">
        <v>64</v>
      </c>
      <c r="P506" s="3" t="s">
        <v>613</v>
      </c>
      <c r="R506" s="3" t="s">
        <v>1346</v>
      </c>
      <c r="S506" s="4">
        <v>2</v>
      </c>
      <c r="T506" s="4">
        <v>2</v>
      </c>
      <c r="U506" s="5" t="s">
        <v>3791</v>
      </c>
      <c r="V506" s="5" t="s">
        <v>3791</v>
      </c>
      <c r="W506" s="5" t="s">
        <v>3664</v>
      </c>
      <c r="X506" s="5" t="s">
        <v>3664</v>
      </c>
      <c r="Y506" s="4">
        <v>210</v>
      </c>
      <c r="Z506" s="4">
        <v>160</v>
      </c>
      <c r="AA506" s="4">
        <v>209</v>
      </c>
      <c r="AB506" s="4">
        <v>1</v>
      </c>
      <c r="AC506" s="4">
        <v>1</v>
      </c>
      <c r="AD506" s="4">
        <v>6</v>
      </c>
      <c r="AE506" s="4">
        <v>8</v>
      </c>
      <c r="AF506" s="4">
        <v>1</v>
      </c>
      <c r="AG506" s="4">
        <v>3</v>
      </c>
      <c r="AH506" s="4">
        <v>3</v>
      </c>
      <c r="AI506" s="4">
        <v>4</v>
      </c>
      <c r="AJ506" s="4">
        <v>4</v>
      </c>
      <c r="AK506" s="4">
        <v>4</v>
      </c>
      <c r="AL506" s="4">
        <v>0</v>
      </c>
      <c r="AM506" s="4">
        <v>0</v>
      </c>
      <c r="AN506" s="4">
        <v>0</v>
      </c>
      <c r="AO506" s="4">
        <v>0</v>
      </c>
      <c r="AP506" s="3" t="s">
        <v>58</v>
      </c>
      <c r="AQ506" s="3" t="s">
        <v>115</v>
      </c>
      <c r="AR506" s="6" t="str">
        <f>HYPERLINK("http://catalog.hathitrust.org/Record/000579132","HathiTrust Record")</f>
        <v>HathiTrust Record</v>
      </c>
      <c r="AS506" s="6" t="str">
        <f>HYPERLINK("https://creighton-primo.hosted.exlibrisgroup.com/primo-explore/search?tab=default_tab&amp;search_scope=EVERYTHING&amp;vid=01CRU&amp;lang=en_US&amp;offset=0&amp;query=any,contains,991000961119702656","Catalog Record")</f>
        <v>Catalog Record</v>
      </c>
      <c r="AT506" s="6" t="str">
        <f>HYPERLINK("http://www.worldcat.org/oclc/11113581","WorldCat Record")</f>
        <v>WorldCat Record</v>
      </c>
    </row>
    <row r="507" spans="1:46" ht="40.5" customHeight="1" x14ac:dyDescent="0.25">
      <c r="A507" s="8" t="s">
        <v>58</v>
      </c>
      <c r="B507" s="2" t="s">
        <v>3809</v>
      </c>
      <c r="C507" s="2" t="s">
        <v>3810</v>
      </c>
      <c r="D507" s="2" t="s">
        <v>3811</v>
      </c>
      <c r="F507" s="3" t="s">
        <v>58</v>
      </c>
      <c r="G507" s="3" t="s">
        <v>59</v>
      </c>
      <c r="H507" s="3" t="s">
        <v>115</v>
      </c>
      <c r="I507" s="3" t="s">
        <v>58</v>
      </c>
      <c r="J507" s="3" t="s">
        <v>60</v>
      </c>
      <c r="K507" s="2" t="s">
        <v>3812</v>
      </c>
      <c r="L507" s="2" t="s">
        <v>3813</v>
      </c>
      <c r="M507" s="3" t="s">
        <v>1392</v>
      </c>
      <c r="O507" s="3" t="s">
        <v>64</v>
      </c>
      <c r="P507" s="3" t="s">
        <v>112</v>
      </c>
      <c r="Q507" s="2" t="s">
        <v>3814</v>
      </c>
      <c r="R507" s="3" t="s">
        <v>1346</v>
      </c>
      <c r="S507" s="4">
        <v>3</v>
      </c>
      <c r="T507" s="4">
        <v>3</v>
      </c>
      <c r="U507" s="5" t="s">
        <v>3815</v>
      </c>
      <c r="V507" s="5" t="s">
        <v>3815</v>
      </c>
      <c r="W507" s="5" t="s">
        <v>3664</v>
      </c>
      <c r="X507" s="5" t="s">
        <v>3664</v>
      </c>
      <c r="Y507" s="4">
        <v>448</v>
      </c>
      <c r="Z507" s="4">
        <v>323</v>
      </c>
      <c r="AA507" s="4">
        <v>325</v>
      </c>
      <c r="AB507" s="4">
        <v>3</v>
      </c>
      <c r="AC507" s="4">
        <v>3</v>
      </c>
      <c r="AD507" s="4">
        <v>15</v>
      </c>
      <c r="AE507" s="4">
        <v>15</v>
      </c>
      <c r="AF507" s="4">
        <v>6</v>
      </c>
      <c r="AG507" s="4">
        <v>6</v>
      </c>
      <c r="AH507" s="4">
        <v>5</v>
      </c>
      <c r="AI507" s="4">
        <v>5</v>
      </c>
      <c r="AJ507" s="4">
        <v>8</v>
      </c>
      <c r="AK507" s="4">
        <v>8</v>
      </c>
      <c r="AL507" s="4">
        <v>1</v>
      </c>
      <c r="AM507" s="4">
        <v>1</v>
      </c>
      <c r="AN507" s="4">
        <v>0</v>
      </c>
      <c r="AO507" s="4">
        <v>0</v>
      </c>
      <c r="AP507" s="3" t="s">
        <v>58</v>
      </c>
      <c r="AQ507" s="3" t="s">
        <v>115</v>
      </c>
      <c r="AR507" s="6" t="str">
        <f>HYPERLINK("http://catalog.hathitrust.org/Record/000203548","HathiTrust Record")</f>
        <v>HathiTrust Record</v>
      </c>
      <c r="AS507" s="6" t="str">
        <f>HYPERLINK("https://creighton-primo.hosted.exlibrisgroup.com/primo-explore/search?tab=default_tab&amp;search_scope=EVERYTHING&amp;vid=01CRU&amp;lang=en_US&amp;offset=0&amp;query=any,contains,991000961159702656","Catalog Record")</f>
        <v>Catalog Record</v>
      </c>
      <c r="AT507" s="6" t="str">
        <f>HYPERLINK("http://www.worldcat.org/oclc/8476156","WorldCat Record")</f>
        <v>WorldCat Record</v>
      </c>
    </row>
    <row r="508" spans="1:46" ht="40.5" customHeight="1" x14ac:dyDescent="0.25">
      <c r="A508" s="8" t="s">
        <v>58</v>
      </c>
      <c r="B508" s="2" t="s">
        <v>3816</v>
      </c>
      <c r="C508" s="2" t="s">
        <v>3817</v>
      </c>
      <c r="D508" s="2" t="s">
        <v>3818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60</v>
      </c>
      <c r="L508" s="2" t="s">
        <v>3819</v>
      </c>
      <c r="M508" s="3" t="s">
        <v>1511</v>
      </c>
      <c r="O508" s="3" t="s">
        <v>64</v>
      </c>
      <c r="P508" s="3" t="s">
        <v>1355</v>
      </c>
      <c r="Q508" s="2" t="s">
        <v>3820</v>
      </c>
      <c r="R508" s="3" t="s">
        <v>1346</v>
      </c>
      <c r="S508" s="4">
        <v>8</v>
      </c>
      <c r="T508" s="4">
        <v>8</v>
      </c>
      <c r="U508" s="5" t="s">
        <v>3821</v>
      </c>
      <c r="V508" s="5" t="s">
        <v>3821</v>
      </c>
      <c r="W508" s="5" t="s">
        <v>3822</v>
      </c>
      <c r="X508" s="5" t="s">
        <v>3822</v>
      </c>
      <c r="Y508" s="4">
        <v>153</v>
      </c>
      <c r="Z508" s="4">
        <v>110</v>
      </c>
      <c r="AA508" s="4">
        <v>130</v>
      </c>
      <c r="AB508" s="4">
        <v>2</v>
      </c>
      <c r="AC508" s="4">
        <v>2</v>
      </c>
      <c r="AD508" s="4">
        <v>6</v>
      </c>
      <c r="AE508" s="4">
        <v>7</v>
      </c>
      <c r="AF508" s="4">
        <v>1</v>
      </c>
      <c r="AG508" s="4">
        <v>2</v>
      </c>
      <c r="AH508" s="4">
        <v>3</v>
      </c>
      <c r="AI508" s="4">
        <v>3</v>
      </c>
      <c r="AJ508" s="4">
        <v>2</v>
      </c>
      <c r="AK508" s="4">
        <v>3</v>
      </c>
      <c r="AL508" s="4">
        <v>1</v>
      </c>
      <c r="AM508" s="4">
        <v>1</v>
      </c>
      <c r="AN508" s="4">
        <v>0</v>
      </c>
      <c r="AO508" s="4">
        <v>0</v>
      </c>
      <c r="AP508" s="3" t="s">
        <v>58</v>
      </c>
      <c r="AQ508" s="3" t="s">
        <v>58</v>
      </c>
      <c r="AS508" s="6" t="str">
        <f>HYPERLINK("https://creighton-primo.hosted.exlibrisgroup.com/primo-explore/search?tab=default_tab&amp;search_scope=EVERYTHING&amp;vid=01CRU&amp;lang=en_US&amp;offset=0&amp;query=any,contains,991001105009702656","Catalog Record")</f>
        <v>Catalog Record</v>
      </c>
      <c r="AT508" s="6" t="str">
        <f>HYPERLINK("http://www.worldcat.org/oclc/19392835","WorldCat Record")</f>
        <v>WorldCat Record</v>
      </c>
    </row>
    <row r="509" spans="1:46" ht="40.5" customHeight="1" x14ac:dyDescent="0.25">
      <c r="A509" s="8" t="s">
        <v>58</v>
      </c>
      <c r="B509" s="2" t="s">
        <v>3823</v>
      </c>
      <c r="C509" s="2" t="s">
        <v>3824</v>
      </c>
      <c r="D509" s="2" t="s">
        <v>3825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60</v>
      </c>
      <c r="K509" s="2" t="s">
        <v>3826</v>
      </c>
      <c r="L509" s="2" t="s">
        <v>3827</v>
      </c>
      <c r="M509" s="3" t="s">
        <v>336</v>
      </c>
      <c r="O509" s="3" t="s">
        <v>64</v>
      </c>
      <c r="P509" s="3" t="s">
        <v>1355</v>
      </c>
      <c r="R509" s="3" t="s">
        <v>1346</v>
      </c>
      <c r="S509" s="4">
        <v>3</v>
      </c>
      <c r="T509" s="4">
        <v>3</v>
      </c>
      <c r="U509" s="5" t="s">
        <v>3828</v>
      </c>
      <c r="V509" s="5" t="s">
        <v>3828</v>
      </c>
      <c r="W509" s="5" t="s">
        <v>3664</v>
      </c>
      <c r="X509" s="5" t="s">
        <v>3664</v>
      </c>
      <c r="Y509" s="4">
        <v>157</v>
      </c>
      <c r="Z509" s="4">
        <v>118</v>
      </c>
      <c r="AA509" s="4">
        <v>142</v>
      </c>
      <c r="AB509" s="4">
        <v>1</v>
      </c>
      <c r="AC509" s="4">
        <v>1</v>
      </c>
      <c r="AD509" s="4">
        <v>1</v>
      </c>
      <c r="AE509" s="4">
        <v>1</v>
      </c>
      <c r="AF509" s="4">
        <v>0</v>
      </c>
      <c r="AG509" s="4">
        <v>0</v>
      </c>
      <c r="AH509" s="4">
        <v>1</v>
      </c>
      <c r="AI509" s="4">
        <v>1</v>
      </c>
      <c r="AJ509" s="4">
        <v>1</v>
      </c>
      <c r="AK509" s="4">
        <v>1</v>
      </c>
      <c r="AL509" s="4">
        <v>0</v>
      </c>
      <c r="AM509" s="4">
        <v>0</v>
      </c>
      <c r="AN509" s="4">
        <v>0</v>
      </c>
      <c r="AO509" s="4">
        <v>0</v>
      </c>
      <c r="AP509" s="3" t="s">
        <v>58</v>
      </c>
      <c r="AQ509" s="3" t="s">
        <v>115</v>
      </c>
      <c r="AR509" s="6" t="str">
        <f>HYPERLINK("http://catalog.hathitrust.org/Record/000207203","HathiTrust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HYPERLINK("https://creighton-primo.hosted.exlibrisgroup.com/primo-explore/search?tab=default_tab&amp;search_scope=EVERYTHING&amp;vid=01CRU&amp;lang=en_US&amp;offset=0&amp;query=any,contains,991000961039702656","Catalog Record")</f>
        <v>Catalog Record</v>
      </c>
      <c r="AT509" s="6" t="str">
        <f>HYPERLINK("http://www.worldcat.org/oclc/7171067","WorldCat Record")</f>
        <v>WorldCat Record</v>
      </c>
    </row>
    <row r="510" spans="1:46" ht="40.5" customHeight="1" x14ac:dyDescent="0.25">
      <c r="A510" s="8" t="s">
        <v>58</v>
      </c>
      <c r="B510" s="2" t="s">
        <v>3829</v>
      </c>
      <c r="C510" s="2" t="s">
        <v>3830</v>
      </c>
      <c r="D510" s="2" t="s">
        <v>3831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60</v>
      </c>
      <c r="L510" s="2" t="s">
        <v>3832</v>
      </c>
      <c r="M510" s="3" t="s">
        <v>725</v>
      </c>
      <c r="O510" s="3" t="s">
        <v>64</v>
      </c>
      <c r="P510" s="3" t="s">
        <v>112</v>
      </c>
      <c r="R510" s="3" t="s">
        <v>1346</v>
      </c>
      <c r="S510" s="4">
        <v>5</v>
      </c>
      <c r="T510" s="4">
        <v>5</v>
      </c>
      <c r="U510" s="5" t="s">
        <v>3833</v>
      </c>
      <c r="V510" s="5" t="s">
        <v>3833</v>
      </c>
      <c r="W510" s="5" t="s">
        <v>3664</v>
      </c>
      <c r="X510" s="5" t="s">
        <v>3664</v>
      </c>
      <c r="Y510" s="4">
        <v>262</v>
      </c>
      <c r="Z510" s="4">
        <v>169</v>
      </c>
      <c r="AA510" s="4">
        <v>177</v>
      </c>
      <c r="AB510" s="4">
        <v>2</v>
      </c>
      <c r="AC510" s="4">
        <v>2</v>
      </c>
      <c r="AD510" s="4">
        <v>6</v>
      </c>
      <c r="AE510" s="4">
        <v>6</v>
      </c>
      <c r="AF510" s="4">
        <v>1</v>
      </c>
      <c r="AG510" s="4">
        <v>1</v>
      </c>
      <c r="AH510" s="4">
        <v>2</v>
      </c>
      <c r="AI510" s="4">
        <v>2</v>
      </c>
      <c r="AJ510" s="4">
        <v>3</v>
      </c>
      <c r="AK510" s="4">
        <v>3</v>
      </c>
      <c r="AL510" s="4">
        <v>1</v>
      </c>
      <c r="AM510" s="4">
        <v>1</v>
      </c>
      <c r="AN510" s="4">
        <v>0</v>
      </c>
      <c r="AO510" s="4">
        <v>0</v>
      </c>
      <c r="AP510" s="3" t="s">
        <v>58</v>
      </c>
      <c r="AQ510" s="3" t="s">
        <v>115</v>
      </c>
      <c r="AR510" s="6" t="str">
        <f>HYPERLINK("http://catalog.hathitrust.org/Record/000329670","HathiTrust Record")</f>
        <v>HathiTrust Record</v>
      </c>
      <c r="AS510" s="6" t="str">
        <f>HYPERLINK("https://creighton-primo.hosted.exlibrisgroup.com/primo-explore/search?tab=default_tab&amp;search_scope=EVERYTHING&amp;vid=01CRU&amp;lang=en_US&amp;offset=0&amp;query=any,contains,991000960959702656","Catalog Record")</f>
        <v>Catalog Record</v>
      </c>
      <c r="AT510" s="6" t="str">
        <f>HYPERLINK("http://www.worldcat.org/oclc/8502879","WorldCat Record")</f>
        <v>WorldCat Record</v>
      </c>
    </row>
    <row r="511" spans="1:46" ht="40.5" customHeight="1" x14ac:dyDescent="0.25">
      <c r="A511" s="8" t="s">
        <v>58</v>
      </c>
      <c r="B511" s="2" t="s">
        <v>3834</v>
      </c>
      <c r="C511" s="2" t="s">
        <v>3835</v>
      </c>
      <c r="D511" s="2" t="s">
        <v>3836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60</v>
      </c>
      <c r="K511" s="2" t="s">
        <v>3837</v>
      </c>
      <c r="L511" s="2" t="s">
        <v>3838</v>
      </c>
      <c r="M511" s="3" t="s">
        <v>290</v>
      </c>
      <c r="O511" s="3" t="s">
        <v>64</v>
      </c>
      <c r="P511" s="3" t="s">
        <v>112</v>
      </c>
      <c r="R511" s="3" t="s">
        <v>1346</v>
      </c>
      <c r="S511" s="4">
        <v>4</v>
      </c>
      <c r="T511" s="4">
        <v>4</v>
      </c>
      <c r="U511" s="5" t="s">
        <v>3839</v>
      </c>
      <c r="V511" s="5" t="s">
        <v>3839</v>
      </c>
      <c r="W511" s="5" t="s">
        <v>1633</v>
      </c>
      <c r="X511" s="5" t="s">
        <v>1633</v>
      </c>
      <c r="Y511" s="4">
        <v>145</v>
      </c>
      <c r="Z511" s="4">
        <v>91</v>
      </c>
      <c r="AA511" s="4">
        <v>93</v>
      </c>
      <c r="AB511" s="4">
        <v>1</v>
      </c>
      <c r="AC511" s="4">
        <v>1</v>
      </c>
      <c r="AD511" s="4">
        <v>2</v>
      </c>
      <c r="AE511" s="4">
        <v>2</v>
      </c>
      <c r="AF511" s="4">
        <v>1</v>
      </c>
      <c r="AG511" s="4">
        <v>1</v>
      </c>
      <c r="AH511" s="4">
        <v>0</v>
      </c>
      <c r="AI511" s="4">
        <v>0</v>
      </c>
      <c r="AJ511" s="4">
        <v>1</v>
      </c>
      <c r="AK511" s="4">
        <v>1</v>
      </c>
      <c r="AL511" s="4">
        <v>0</v>
      </c>
      <c r="AM511" s="4">
        <v>0</v>
      </c>
      <c r="AN511" s="4">
        <v>0</v>
      </c>
      <c r="AO511" s="4">
        <v>0</v>
      </c>
      <c r="AP511" s="3" t="s">
        <v>58</v>
      </c>
      <c r="AQ511" s="3" t="s">
        <v>115</v>
      </c>
      <c r="AR511" s="6" t="str">
        <f>HYPERLINK("http://catalog.hathitrust.org/Record/000949606","HathiTrust Record")</f>
        <v>HathiTrust Record</v>
      </c>
      <c r="AS511" s="6" t="str">
        <f>HYPERLINK("https://creighton-primo.hosted.exlibrisgroup.com/primo-explore/search?tab=default_tab&amp;search_scope=EVERYTHING&amp;vid=01CRU&amp;lang=en_US&amp;offset=0&amp;query=any,contains,991001124199702656","Catalog Record")</f>
        <v>Catalog Record</v>
      </c>
      <c r="AT511" s="6" t="str">
        <f>HYPERLINK("http://www.worldcat.org/oclc/20398391","WorldCat Record")</f>
        <v>WorldCat Record</v>
      </c>
    </row>
    <row r="512" spans="1:46" ht="40.5" customHeight="1" x14ac:dyDescent="0.25">
      <c r="A512" s="8" t="s">
        <v>58</v>
      </c>
      <c r="B512" s="2" t="s">
        <v>3840</v>
      </c>
      <c r="C512" s="2" t="s">
        <v>3841</v>
      </c>
      <c r="D512" s="2" t="s">
        <v>3842</v>
      </c>
      <c r="F512" s="3" t="s">
        <v>58</v>
      </c>
      <c r="G512" s="3" t="s">
        <v>59</v>
      </c>
      <c r="H512" s="3" t="s">
        <v>58</v>
      </c>
      <c r="I512" s="3" t="s">
        <v>58</v>
      </c>
      <c r="J512" s="3" t="s">
        <v>60</v>
      </c>
      <c r="L512" s="2" t="s">
        <v>3843</v>
      </c>
      <c r="M512" s="3" t="s">
        <v>424</v>
      </c>
      <c r="O512" s="3" t="s">
        <v>64</v>
      </c>
      <c r="P512" s="3" t="s">
        <v>1355</v>
      </c>
      <c r="Q512" s="2" t="s">
        <v>3844</v>
      </c>
      <c r="R512" s="3" t="s">
        <v>1346</v>
      </c>
      <c r="S512" s="4">
        <v>7</v>
      </c>
      <c r="T512" s="4">
        <v>7</v>
      </c>
      <c r="U512" s="5" t="s">
        <v>3845</v>
      </c>
      <c r="V512" s="5" t="s">
        <v>3845</v>
      </c>
      <c r="W512" s="5" t="s">
        <v>3676</v>
      </c>
      <c r="X512" s="5" t="s">
        <v>3676</v>
      </c>
      <c r="Y512" s="4">
        <v>251</v>
      </c>
      <c r="Z512" s="4">
        <v>160</v>
      </c>
      <c r="AA512" s="4">
        <v>188</v>
      </c>
      <c r="AB512" s="4">
        <v>1</v>
      </c>
      <c r="AC512" s="4">
        <v>2</v>
      </c>
      <c r="AD512" s="4">
        <v>5</v>
      </c>
      <c r="AE512" s="4">
        <v>7</v>
      </c>
      <c r="AF512" s="4">
        <v>2</v>
      </c>
      <c r="AG512" s="4">
        <v>3</v>
      </c>
      <c r="AH512" s="4">
        <v>2</v>
      </c>
      <c r="AI512" s="4">
        <v>3</v>
      </c>
      <c r="AJ512" s="4">
        <v>4</v>
      </c>
      <c r="AK512" s="4">
        <v>4</v>
      </c>
      <c r="AL512" s="4">
        <v>0</v>
      </c>
      <c r="AM512" s="4">
        <v>1</v>
      </c>
      <c r="AN512" s="4">
        <v>0</v>
      </c>
      <c r="AO512" s="4">
        <v>0</v>
      </c>
      <c r="AP512" s="3" t="s">
        <v>58</v>
      </c>
      <c r="AQ512" s="3" t="s">
        <v>58</v>
      </c>
      <c r="AS512" s="6" t="str">
        <f>HYPERLINK("https://creighton-primo.hosted.exlibrisgroup.com/primo-explore/search?tab=default_tab&amp;search_scope=EVERYTHING&amp;vid=01CRU&amp;lang=en_US&amp;offset=0&amp;query=any,contains,991000680009702656","Catalog Record")</f>
        <v>Catalog Record</v>
      </c>
      <c r="AT512" s="6" t="str">
        <f>HYPERLINK("http://www.worldcat.org/oclc/30010969","WorldCat Record")</f>
        <v>WorldCat Record</v>
      </c>
    </row>
    <row r="513" spans="1:46" ht="40.5" customHeight="1" x14ac:dyDescent="0.25">
      <c r="A513" s="8" t="s">
        <v>58</v>
      </c>
      <c r="B513" s="2" t="s">
        <v>3846</v>
      </c>
      <c r="C513" s="2" t="s">
        <v>3847</v>
      </c>
      <c r="D513" s="2" t="s">
        <v>3848</v>
      </c>
      <c r="F513" s="3" t="s">
        <v>58</v>
      </c>
      <c r="G513" s="3" t="s">
        <v>59</v>
      </c>
      <c r="H513" s="3" t="s">
        <v>115</v>
      </c>
      <c r="I513" s="3" t="s">
        <v>58</v>
      </c>
      <c r="J513" s="3" t="s">
        <v>60</v>
      </c>
      <c r="K513" s="2" t="s">
        <v>3849</v>
      </c>
      <c r="L513" s="2" t="s">
        <v>3850</v>
      </c>
      <c r="M513" s="3" t="s">
        <v>336</v>
      </c>
      <c r="O513" s="3" t="s">
        <v>64</v>
      </c>
      <c r="P513" s="3" t="s">
        <v>1355</v>
      </c>
      <c r="Q513" s="2" t="s">
        <v>1887</v>
      </c>
      <c r="R513" s="3" t="s">
        <v>1346</v>
      </c>
      <c r="S513" s="4">
        <v>2</v>
      </c>
      <c r="T513" s="4">
        <v>2</v>
      </c>
      <c r="U513" s="5" t="s">
        <v>3851</v>
      </c>
      <c r="V513" s="5" t="s">
        <v>3851</v>
      </c>
      <c r="W513" s="5" t="s">
        <v>3664</v>
      </c>
      <c r="X513" s="5" t="s">
        <v>3664</v>
      </c>
      <c r="Y513" s="4">
        <v>302</v>
      </c>
      <c r="Z513" s="4">
        <v>248</v>
      </c>
      <c r="AA513" s="4">
        <v>250</v>
      </c>
      <c r="AB513" s="4">
        <v>4</v>
      </c>
      <c r="AC513" s="4">
        <v>4</v>
      </c>
      <c r="AD513" s="4">
        <v>11</v>
      </c>
      <c r="AE513" s="4">
        <v>11</v>
      </c>
      <c r="AF513" s="4">
        <v>4</v>
      </c>
      <c r="AG513" s="4">
        <v>4</v>
      </c>
      <c r="AH513" s="4">
        <v>3</v>
      </c>
      <c r="AI513" s="4">
        <v>3</v>
      </c>
      <c r="AJ513" s="4">
        <v>6</v>
      </c>
      <c r="AK513" s="4">
        <v>6</v>
      </c>
      <c r="AL513" s="4">
        <v>2</v>
      </c>
      <c r="AM513" s="4">
        <v>2</v>
      </c>
      <c r="AN513" s="4">
        <v>0</v>
      </c>
      <c r="AO513" s="4">
        <v>0</v>
      </c>
      <c r="AP513" s="3" t="s">
        <v>58</v>
      </c>
      <c r="AQ513" s="3" t="s">
        <v>115</v>
      </c>
      <c r="AR513" s="6" t="str">
        <f>HYPERLINK("http://catalog.hathitrust.org/Record/000231316","HathiTrust Record")</f>
        <v>HathiTrust Record</v>
      </c>
      <c r="AS513" s="6" t="str">
        <f>HYPERLINK("https://creighton-primo.hosted.exlibrisgroup.com/primo-explore/search?tab=default_tab&amp;search_scope=EVERYTHING&amp;vid=01CRU&amp;lang=en_US&amp;offset=0&amp;query=any,contains,991000960879702656","Catalog Record")</f>
        <v>Catalog Record</v>
      </c>
      <c r="AT513" s="6" t="str">
        <f>HYPERLINK("http://www.worldcat.org/oclc/7573077","WorldCat Record")</f>
        <v>WorldCat Record</v>
      </c>
    </row>
    <row r="514" spans="1:46" ht="40.5" customHeight="1" x14ac:dyDescent="0.25">
      <c r="A514" s="8" t="s">
        <v>58</v>
      </c>
      <c r="B514" s="2" t="s">
        <v>3852</v>
      </c>
      <c r="C514" s="2" t="s">
        <v>3853</v>
      </c>
      <c r="D514" s="2" t="s">
        <v>3854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60</v>
      </c>
      <c r="K514" s="2" t="s">
        <v>3855</v>
      </c>
      <c r="L514" s="2" t="s">
        <v>3856</v>
      </c>
      <c r="M514" s="3" t="s">
        <v>515</v>
      </c>
      <c r="O514" s="3" t="s">
        <v>64</v>
      </c>
      <c r="P514" s="3" t="s">
        <v>1355</v>
      </c>
      <c r="R514" s="3" t="s">
        <v>1346</v>
      </c>
      <c r="S514" s="4">
        <v>6</v>
      </c>
      <c r="T514" s="4">
        <v>6</v>
      </c>
      <c r="U514" s="5" t="s">
        <v>3851</v>
      </c>
      <c r="V514" s="5" t="s">
        <v>3851</v>
      </c>
      <c r="W514" s="5" t="s">
        <v>3664</v>
      </c>
      <c r="X514" s="5" t="s">
        <v>3664</v>
      </c>
      <c r="Y514" s="4">
        <v>274</v>
      </c>
      <c r="Z514" s="4">
        <v>193</v>
      </c>
      <c r="AA514" s="4">
        <v>236</v>
      </c>
      <c r="AB514" s="4">
        <v>2</v>
      </c>
      <c r="AC514" s="4">
        <v>2</v>
      </c>
      <c r="AD514" s="4">
        <v>7</v>
      </c>
      <c r="AE514" s="4">
        <v>7</v>
      </c>
      <c r="AF514" s="4">
        <v>2</v>
      </c>
      <c r="AG514" s="4">
        <v>2</v>
      </c>
      <c r="AH514" s="4">
        <v>2</v>
      </c>
      <c r="AI514" s="4">
        <v>2</v>
      </c>
      <c r="AJ514" s="4">
        <v>4</v>
      </c>
      <c r="AK514" s="4">
        <v>4</v>
      </c>
      <c r="AL514" s="4">
        <v>1</v>
      </c>
      <c r="AM514" s="4">
        <v>1</v>
      </c>
      <c r="AN514" s="4">
        <v>0</v>
      </c>
      <c r="AO514" s="4">
        <v>0</v>
      </c>
      <c r="AP514" s="3" t="s">
        <v>58</v>
      </c>
      <c r="AQ514" s="3" t="s">
        <v>115</v>
      </c>
      <c r="AR514" s="6" t="str">
        <f>HYPERLINK("http://catalog.hathitrust.org/Record/000822158","HathiTrust Record")</f>
        <v>HathiTrust Record</v>
      </c>
      <c r="AS514" s="6" t="str">
        <f>HYPERLINK("https://creighton-primo.hosted.exlibrisgroup.com/primo-explore/search?tab=default_tab&amp;search_scope=EVERYTHING&amp;vid=01CRU&amp;lang=en_US&amp;offset=0&amp;query=any,contains,991000960909702656","Catalog Record")</f>
        <v>Catalog Record</v>
      </c>
      <c r="AT514" s="6" t="str">
        <f>HYPERLINK("http://www.worldcat.org/oclc/12107423","WorldCat Record")</f>
        <v>WorldCat Record</v>
      </c>
    </row>
    <row r="515" spans="1:46" ht="40.5" customHeight="1" x14ac:dyDescent="0.25">
      <c r="A515" s="8" t="s">
        <v>58</v>
      </c>
      <c r="B515" s="2" t="s">
        <v>3857</v>
      </c>
      <c r="C515" s="2" t="s">
        <v>3858</v>
      </c>
      <c r="D515" s="2" t="s">
        <v>3859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60</v>
      </c>
      <c r="L515" s="2" t="s">
        <v>3860</v>
      </c>
      <c r="M515" s="3" t="s">
        <v>515</v>
      </c>
      <c r="N515" s="2" t="s">
        <v>174</v>
      </c>
      <c r="O515" s="3" t="s">
        <v>64</v>
      </c>
      <c r="P515" s="3" t="s">
        <v>112</v>
      </c>
      <c r="Q515" s="2" t="s">
        <v>3861</v>
      </c>
      <c r="R515" s="3" t="s">
        <v>1346</v>
      </c>
      <c r="S515" s="4">
        <v>6</v>
      </c>
      <c r="T515" s="4">
        <v>6</v>
      </c>
      <c r="U515" s="5" t="s">
        <v>3862</v>
      </c>
      <c r="V515" s="5" t="s">
        <v>3862</v>
      </c>
      <c r="W515" s="5" t="s">
        <v>3664</v>
      </c>
      <c r="X515" s="5" t="s">
        <v>3664</v>
      </c>
      <c r="Y515" s="4">
        <v>112</v>
      </c>
      <c r="Z515" s="4">
        <v>75</v>
      </c>
      <c r="AA515" s="4">
        <v>77</v>
      </c>
      <c r="AB515" s="4">
        <v>1</v>
      </c>
      <c r="AC515" s="4">
        <v>1</v>
      </c>
      <c r="AD515" s="4">
        <v>1</v>
      </c>
      <c r="AE515" s="4">
        <v>1</v>
      </c>
      <c r="AF515" s="4">
        <v>0</v>
      </c>
      <c r="AG515" s="4">
        <v>0</v>
      </c>
      <c r="AH515" s="4">
        <v>1</v>
      </c>
      <c r="AI515" s="4">
        <v>1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3" t="s">
        <v>58</v>
      </c>
      <c r="AQ515" s="3" t="s">
        <v>115</v>
      </c>
      <c r="AR515" s="6" t="str">
        <f>HYPERLINK("http://catalog.hathitrust.org/Record/000829699","HathiTrust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HYPERLINK("https://creighton-primo.hosted.exlibrisgroup.com/primo-explore/search?tab=default_tab&amp;search_scope=EVERYTHING&amp;vid=01CRU&amp;lang=en_US&amp;offset=0&amp;query=any,contains,991001265389702656","Catalog Record")</f>
        <v>Catalog Record</v>
      </c>
      <c r="AT515" s="6" t="str">
        <f>HYPERLINK("http://www.worldcat.org/oclc/13903046","WorldCat Record")</f>
        <v>WorldCat Record</v>
      </c>
    </row>
    <row r="516" spans="1:46" ht="40.5" customHeight="1" x14ac:dyDescent="0.25">
      <c r="A516" s="8" t="s">
        <v>58</v>
      </c>
      <c r="B516" s="2" t="s">
        <v>3863</v>
      </c>
      <c r="C516" s="2" t="s">
        <v>3864</v>
      </c>
      <c r="D516" s="2" t="s">
        <v>3865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60</v>
      </c>
      <c r="L516" s="2" t="s">
        <v>3866</v>
      </c>
      <c r="M516" s="3" t="s">
        <v>3354</v>
      </c>
      <c r="O516" s="3" t="s">
        <v>64</v>
      </c>
      <c r="P516" s="3" t="s">
        <v>3195</v>
      </c>
      <c r="R516" s="3" t="s">
        <v>1346</v>
      </c>
      <c r="S516" s="4">
        <v>5</v>
      </c>
      <c r="T516" s="4">
        <v>5</v>
      </c>
      <c r="U516" s="5" t="s">
        <v>3867</v>
      </c>
      <c r="V516" s="5" t="s">
        <v>3867</v>
      </c>
      <c r="W516" s="5" t="s">
        <v>3156</v>
      </c>
      <c r="X516" s="5" t="s">
        <v>3156</v>
      </c>
      <c r="Y516" s="4">
        <v>71</v>
      </c>
      <c r="Z516" s="4">
        <v>54</v>
      </c>
      <c r="AA516" s="4">
        <v>56</v>
      </c>
      <c r="AB516" s="4">
        <v>1</v>
      </c>
      <c r="AC516" s="4">
        <v>1</v>
      </c>
      <c r="AD516" s="4">
        <v>1</v>
      </c>
      <c r="AE516" s="4">
        <v>1</v>
      </c>
      <c r="AF516" s="4">
        <v>0</v>
      </c>
      <c r="AG516" s="4">
        <v>0</v>
      </c>
      <c r="AH516" s="4">
        <v>0</v>
      </c>
      <c r="AI516" s="4">
        <v>0</v>
      </c>
      <c r="AJ516" s="4">
        <v>1</v>
      </c>
      <c r="AK516" s="4">
        <v>1</v>
      </c>
      <c r="AL516" s="4">
        <v>0</v>
      </c>
      <c r="AM516" s="4">
        <v>0</v>
      </c>
      <c r="AN516" s="4">
        <v>0</v>
      </c>
      <c r="AO516" s="4">
        <v>0</v>
      </c>
      <c r="AP516" s="3" t="s">
        <v>58</v>
      </c>
      <c r="AQ516" s="3" t="s">
        <v>115</v>
      </c>
      <c r="AR516" s="6" t="str">
        <f>HYPERLINK("http://catalog.hathitrust.org/Record/001571734","HathiTrust Record")</f>
        <v>HathiTrust Record</v>
      </c>
      <c r="AS516" s="6" t="str">
        <f>HYPERLINK("https://creighton-primo.hosted.exlibrisgroup.com/primo-explore/search?tab=default_tab&amp;search_scope=EVERYTHING&amp;vid=01CRU&amp;lang=en_US&amp;offset=0&amp;query=any,contains,991000960839702656","Catalog Record")</f>
        <v>Catalog Record</v>
      </c>
      <c r="AT516" s="6" t="str">
        <f>HYPERLINK("http://www.worldcat.org/oclc/135699","WorldCat Record")</f>
        <v>WorldCat Record</v>
      </c>
    </row>
    <row r="517" spans="1:46" ht="40.5" customHeight="1" x14ac:dyDescent="0.25">
      <c r="A517" s="8" t="s">
        <v>58</v>
      </c>
      <c r="B517" s="2" t="s">
        <v>3868</v>
      </c>
      <c r="C517" s="2" t="s">
        <v>3869</v>
      </c>
      <c r="D517" s="2" t="s">
        <v>3870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K517" s="2" t="s">
        <v>3871</v>
      </c>
      <c r="L517" s="2" t="s">
        <v>3872</v>
      </c>
      <c r="M517" s="3" t="s">
        <v>671</v>
      </c>
      <c r="O517" s="3" t="s">
        <v>64</v>
      </c>
      <c r="P517" s="3" t="s">
        <v>1512</v>
      </c>
      <c r="R517" s="3" t="s">
        <v>1346</v>
      </c>
      <c r="S517" s="4">
        <v>4</v>
      </c>
      <c r="T517" s="4">
        <v>4</v>
      </c>
      <c r="U517" s="5" t="s">
        <v>3873</v>
      </c>
      <c r="V517" s="5" t="s">
        <v>3873</v>
      </c>
      <c r="W517" s="5" t="s">
        <v>3156</v>
      </c>
      <c r="X517" s="5" t="s">
        <v>3156</v>
      </c>
      <c r="Y517" s="4">
        <v>283</v>
      </c>
      <c r="Z517" s="4">
        <v>241</v>
      </c>
      <c r="AA517" s="4">
        <v>601</v>
      </c>
      <c r="AB517" s="4">
        <v>3</v>
      </c>
      <c r="AC517" s="4">
        <v>6</v>
      </c>
      <c r="AD517" s="4">
        <v>9</v>
      </c>
      <c r="AE517" s="4">
        <v>26</v>
      </c>
      <c r="AF517" s="4">
        <v>1</v>
      </c>
      <c r="AG517" s="4">
        <v>7</v>
      </c>
      <c r="AH517" s="4">
        <v>1</v>
      </c>
      <c r="AI517" s="4">
        <v>6</v>
      </c>
      <c r="AJ517" s="4">
        <v>5</v>
      </c>
      <c r="AK517" s="4">
        <v>9</v>
      </c>
      <c r="AL517" s="4">
        <v>2</v>
      </c>
      <c r="AM517" s="4">
        <v>5</v>
      </c>
      <c r="AN517" s="4">
        <v>0</v>
      </c>
      <c r="AO517" s="4">
        <v>1</v>
      </c>
      <c r="AP517" s="3" t="s">
        <v>58</v>
      </c>
      <c r="AQ517" s="3" t="s">
        <v>115</v>
      </c>
      <c r="AR517" s="6" t="str">
        <f>HYPERLINK("http://catalog.hathitrust.org/Record/000039831","HathiTrust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HYPERLINK("https://creighton-primo.hosted.exlibrisgroup.com/primo-explore/search?tab=default_tab&amp;search_scope=EVERYTHING&amp;vid=01CRU&amp;lang=en_US&amp;offset=0&amp;query=any,contains,991000960809702656","Catalog Record")</f>
        <v>Catalog Record</v>
      </c>
      <c r="AT517" s="6" t="str">
        <f>HYPERLINK("http://www.worldcat.org/oclc/1164703","WorldCat Record")</f>
        <v>WorldCat Record</v>
      </c>
    </row>
    <row r="518" spans="1:46" ht="40.5" customHeight="1" x14ac:dyDescent="0.25">
      <c r="A518" s="8" t="s">
        <v>58</v>
      </c>
      <c r="B518" s="2" t="s">
        <v>3874</v>
      </c>
      <c r="C518" s="2" t="s">
        <v>3875</v>
      </c>
      <c r="D518" s="2" t="s">
        <v>3876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60</v>
      </c>
      <c r="K518" s="2" t="s">
        <v>3877</v>
      </c>
      <c r="L518" s="2" t="s">
        <v>3878</v>
      </c>
      <c r="M518" s="3" t="s">
        <v>306</v>
      </c>
      <c r="N518" s="2" t="s">
        <v>3879</v>
      </c>
      <c r="O518" s="3" t="s">
        <v>64</v>
      </c>
      <c r="P518" s="3" t="s">
        <v>3195</v>
      </c>
      <c r="Q518" s="2" t="s">
        <v>3880</v>
      </c>
      <c r="R518" s="3" t="s">
        <v>1346</v>
      </c>
      <c r="S518" s="4">
        <v>1</v>
      </c>
      <c r="T518" s="4">
        <v>1</v>
      </c>
      <c r="U518" s="5" t="s">
        <v>3881</v>
      </c>
      <c r="V518" s="5" t="s">
        <v>3881</v>
      </c>
      <c r="W518" s="5" t="s">
        <v>3881</v>
      </c>
      <c r="X518" s="5" t="s">
        <v>3881</v>
      </c>
      <c r="Y518" s="4">
        <v>125</v>
      </c>
      <c r="Z518" s="4">
        <v>75</v>
      </c>
      <c r="AA518" s="4">
        <v>126</v>
      </c>
      <c r="AB518" s="4">
        <v>1</v>
      </c>
      <c r="AC518" s="4">
        <v>1</v>
      </c>
      <c r="AD518" s="4">
        <v>3</v>
      </c>
      <c r="AE518" s="4">
        <v>3</v>
      </c>
      <c r="AF518" s="4">
        <v>0</v>
      </c>
      <c r="AG518" s="4">
        <v>0</v>
      </c>
      <c r="AH518" s="4">
        <v>2</v>
      </c>
      <c r="AI518" s="4">
        <v>2</v>
      </c>
      <c r="AJ518" s="4">
        <v>2</v>
      </c>
      <c r="AK518" s="4">
        <v>2</v>
      </c>
      <c r="AL518" s="4">
        <v>0</v>
      </c>
      <c r="AM518" s="4">
        <v>0</v>
      </c>
      <c r="AN518" s="4">
        <v>0</v>
      </c>
      <c r="AO518" s="4">
        <v>0</v>
      </c>
      <c r="AP518" s="3" t="s">
        <v>58</v>
      </c>
      <c r="AQ518" s="3" t="s">
        <v>115</v>
      </c>
      <c r="AR518" s="6" t="str">
        <f>HYPERLINK("http://catalog.hathitrust.org/Record/003081210","HathiTrust Record")</f>
        <v>HathiTrust Record</v>
      </c>
      <c r="AS518" s="6" t="str">
        <f>HYPERLINK("https://creighton-primo.hosted.exlibrisgroup.com/primo-explore/search?tab=default_tab&amp;search_scope=EVERYTHING&amp;vid=01CRU&amp;lang=en_US&amp;offset=0&amp;query=any,contains,991001254549702656","Catalog Record")</f>
        <v>Catalog Record</v>
      </c>
      <c r="AT518" s="6" t="str">
        <f>HYPERLINK("http://www.worldcat.org/oclc/34547929","WorldCat Record")</f>
        <v>WorldCat Record</v>
      </c>
    </row>
    <row r="519" spans="1:46" ht="40.5" customHeight="1" x14ac:dyDescent="0.25">
      <c r="A519" s="8" t="s">
        <v>58</v>
      </c>
      <c r="B519" s="2" t="s">
        <v>3882</v>
      </c>
      <c r="C519" s="2" t="s">
        <v>3883</v>
      </c>
      <c r="D519" s="2" t="s">
        <v>3884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3885</v>
      </c>
      <c r="L519" s="2" t="s">
        <v>3886</v>
      </c>
      <c r="M519" s="3" t="s">
        <v>220</v>
      </c>
      <c r="O519" s="3" t="s">
        <v>64</v>
      </c>
      <c r="P519" s="3" t="s">
        <v>2571</v>
      </c>
      <c r="R519" s="3" t="s">
        <v>1346</v>
      </c>
      <c r="S519" s="4">
        <v>3</v>
      </c>
      <c r="T519" s="4">
        <v>3</v>
      </c>
      <c r="U519" s="5" t="s">
        <v>3185</v>
      </c>
      <c r="V519" s="5" t="s">
        <v>3185</v>
      </c>
      <c r="W519" s="5" t="s">
        <v>3664</v>
      </c>
      <c r="X519" s="5" t="s">
        <v>3664</v>
      </c>
      <c r="Y519" s="4">
        <v>332</v>
      </c>
      <c r="Z519" s="4">
        <v>298</v>
      </c>
      <c r="AA519" s="4">
        <v>481</v>
      </c>
      <c r="AB519" s="4">
        <v>3</v>
      </c>
      <c r="AC519" s="4">
        <v>3</v>
      </c>
      <c r="AD519" s="4">
        <v>9</v>
      </c>
      <c r="AE519" s="4">
        <v>10</v>
      </c>
      <c r="AF519" s="4">
        <v>1</v>
      </c>
      <c r="AG519" s="4">
        <v>2</v>
      </c>
      <c r="AH519" s="4">
        <v>3</v>
      </c>
      <c r="AI519" s="4">
        <v>4</v>
      </c>
      <c r="AJ519" s="4">
        <v>5</v>
      </c>
      <c r="AK519" s="4">
        <v>5</v>
      </c>
      <c r="AL519" s="4">
        <v>2</v>
      </c>
      <c r="AM519" s="4">
        <v>2</v>
      </c>
      <c r="AN519" s="4">
        <v>0</v>
      </c>
      <c r="AO519" s="4">
        <v>0</v>
      </c>
      <c r="AP519" s="3" t="s">
        <v>58</v>
      </c>
      <c r="AQ519" s="3" t="s">
        <v>115</v>
      </c>
      <c r="AR519" s="6" t="str">
        <f>HYPERLINK("http://catalog.hathitrust.org/Record/001560593","HathiTrust Record")</f>
        <v>HathiTrust Record</v>
      </c>
      <c r="AS519" s="6" t="str">
        <f>HYPERLINK("https://creighton-primo.hosted.exlibrisgroup.com/primo-explore/search?tab=default_tab&amp;search_scope=EVERYTHING&amp;vid=01CRU&amp;lang=en_US&amp;offset=0&amp;query=any,contains,991000960729702656","Catalog Record")</f>
        <v>Catalog Record</v>
      </c>
      <c r="AT519" s="6" t="str">
        <f>HYPERLINK("http://www.worldcat.org/oclc/251675","WorldCat Record")</f>
        <v>WorldCat Record</v>
      </c>
    </row>
    <row r="520" spans="1:46" ht="40.5" customHeight="1" x14ac:dyDescent="0.25">
      <c r="A520" s="8" t="s">
        <v>58</v>
      </c>
      <c r="B520" s="2" t="s">
        <v>3887</v>
      </c>
      <c r="C520" s="2" t="s">
        <v>3888</v>
      </c>
      <c r="D520" s="2" t="s">
        <v>3889</v>
      </c>
      <c r="F520" s="3" t="s">
        <v>58</v>
      </c>
      <c r="G520" s="3" t="s">
        <v>59</v>
      </c>
      <c r="H520" s="3" t="s">
        <v>58</v>
      </c>
      <c r="I520" s="3" t="s">
        <v>115</v>
      </c>
      <c r="J520" s="3" t="s">
        <v>60</v>
      </c>
      <c r="K520" s="2" t="s">
        <v>3885</v>
      </c>
      <c r="L520" s="2" t="s">
        <v>3890</v>
      </c>
      <c r="M520" s="3" t="s">
        <v>671</v>
      </c>
      <c r="O520" s="3" t="s">
        <v>64</v>
      </c>
      <c r="P520" s="3" t="s">
        <v>2571</v>
      </c>
      <c r="R520" s="3" t="s">
        <v>1346</v>
      </c>
      <c r="S520" s="4">
        <v>2</v>
      </c>
      <c r="T520" s="4">
        <v>2</v>
      </c>
      <c r="U520" s="5" t="s">
        <v>3891</v>
      </c>
      <c r="V520" s="5" t="s">
        <v>3891</v>
      </c>
      <c r="W520" s="5" t="s">
        <v>3581</v>
      </c>
      <c r="X520" s="5" t="s">
        <v>3581</v>
      </c>
      <c r="Y520" s="4">
        <v>41</v>
      </c>
      <c r="Z520" s="4">
        <v>34</v>
      </c>
      <c r="AA520" s="4">
        <v>492</v>
      </c>
      <c r="AB520" s="4">
        <v>1</v>
      </c>
      <c r="AC520" s="4">
        <v>3</v>
      </c>
      <c r="AD520" s="4">
        <v>0</v>
      </c>
      <c r="AE520" s="4">
        <v>21</v>
      </c>
      <c r="AF520" s="4">
        <v>0</v>
      </c>
      <c r="AG520" s="4">
        <v>12</v>
      </c>
      <c r="AH520" s="4">
        <v>0</v>
      </c>
      <c r="AI520" s="4">
        <v>4</v>
      </c>
      <c r="AJ520" s="4">
        <v>0</v>
      </c>
      <c r="AK520" s="4">
        <v>10</v>
      </c>
      <c r="AL520" s="4">
        <v>0</v>
      </c>
      <c r="AM520" s="4">
        <v>1</v>
      </c>
      <c r="AN520" s="4">
        <v>0</v>
      </c>
      <c r="AO520" s="4">
        <v>0</v>
      </c>
      <c r="AP520" s="3" t="s">
        <v>58</v>
      </c>
      <c r="AQ520" s="3" t="s">
        <v>58</v>
      </c>
      <c r="AS520" s="6" t="str">
        <f>HYPERLINK("https://creighton-primo.hosted.exlibrisgroup.com/primo-explore/search?tab=default_tab&amp;search_scope=EVERYTHING&amp;vid=01CRU&amp;lang=en_US&amp;offset=0&amp;query=any,contains,991000960769702656","Catalog Record")</f>
        <v>Catalog Record</v>
      </c>
      <c r="AT520" s="6" t="str">
        <f>HYPERLINK("http://www.worldcat.org/oclc/4318765","WorldCat Record")</f>
        <v>WorldCat Record</v>
      </c>
    </row>
    <row r="521" spans="1:46" ht="40.5" customHeight="1" x14ac:dyDescent="0.25">
      <c r="A521" s="8" t="s">
        <v>58</v>
      </c>
      <c r="B521" s="2" t="s">
        <v>3892</v>
      </c>
      <c r="C521" s="2" t="s">
        <v>3893</v>
      </c>
      <c r="D521" s="2" t="s">
        <v>3894</v>
      </c>
      <c r="E521" s="3" t="s">
        <v>492</v>
      </c>
      <c r="F521" s="3" t="s">
        <v>115</v>
      </c>
      <c r="G521" s="3" t="s">
        <v>59</v>
      </c>
      <c r="H521" s="3" t="s">
        <v>58</v>
      </c>
      <c r="I521" s="3" t="s">
        <v>58</v>
      </c>
      <c r="J521" s="3" t="s">
        <v>60</v>
      </c>
      <c r="K521" s="2" t="s">
        <v>3895</v>
      </c>
      <c r="L521" s="2" t="s">
        <v>3896</v>
      </c>
      <c r="M521" s="3" t="s">
        <v>321</v>
      </c>
      <c r="O521" s="3" t="s">
        <v>64</v>
      </c>
      <c r="P521" s="3" t="s">
        <v>65</v>
      </c>
      <c r="R521" s="3" t="s">
        <v>1346</v>
      </c>
      <c r="S521" s="4">
        <v>3</v>
      </c>
      <c r="T521" s="4">
        <v>6</v>
      </c>
      <c r="V521" s="5" t="s">
        <v>3897</v>
      </c>
      <c r="W521" s="5" t="s">
        <v>3664</v>
      </c>
      <c r="X521" s="5" t="s">
        <v>3664</v>
      </c>
      <c r="Y521" s="4">
        <v>383</v>
      </c>
      <c r="Z521" s="4">
        <v>295</v>
      </c>
      <c r="AA521" s="4">
        <v>299</v>
      </c>
      <c r="AB521" s="4">
        <v>2</v>
      </c>
      <c r="AC521" s="4">
        <v>2</v>
      </c>
      <c r="AD521" s="4">
        <v>7</v>
      </c>
      <c r="AE521" s="4">
        <v>7</v>
      </c>
      <c r="AF521" s="4">
        <v>1</v>
      </c>
      <c r="AG521" s="4">
        <v>1</v>
      </c>
      <c r="AH521" s="4">
        <v>4</v>
      </c>
      <c r="AI521" s="4">
        <v>4</v>
      </c>
      <c r="AJ521" s="4">
        <v>3</v>
      </c>
      <c r="AK521" s="4">
        <v>3</v>
      </c>
      <c r="AL521" s="4">
        <v>1</v>
      </c>
      <c r="AM521" s="4">
        <v>1</v>
      </c>
      <c r="AN521" s="4">
        <v>0</v>
      </c>
      <c r="AO521" s="4">
        <v>0</v>
      </c>
      <c r="AP521" s="3" t="s">
        <v>58</v>
      </c>
      <c r="AQ521" s="3" t="s">
        <v>115</v>
      </c>
      <c r="AR521" s="6" t="str">
        <f>HYPERLINK("http://catalog.hathitrust.org/Record/000232255","HathiTrust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HYPERLINK("https://creighton-primo.hosted.exlibrisgroup.com/primo-explore/search?tab=default_tab&amp;search_scope=EVERYTHING&amp;vid=01CRU&amp;lang=en_US&amp;offset=0&amp;query=any,contains,991000960689702656","Catalog Record")</f>
        <v>Catalog Record</v>
      </c>
      <c r="AT521" s="6" t="str">
        <f>HYPERLINK("http://www.worldcat.org/oclc/2493549","WorldCat Record")</f>
        <v>WorldCat Record</v>
      </c>
    </row>
    <row r="522" spans="1:46" ht="40.5" customHeight="1" x14ac:dyDescent="0.25">
      <c r="A522" s="8" t="s">
        <v>58</v>
      </c>
      <c r="B522" s="2" t="s">
        <v>3892</v>
      </c>
      <c r="C522" s="2" t="s">
        <v>3893</v>
      </c>
      <c r="D522" s="2" t="s">
        <v>3894</v>
      </c>
      <c r="E522" s="3" t="s">
        <v>480</v>
      </c>
      <c r="F522" s="3" t="s">
        <v>115</v>
      </c>
      <c r="G522" s="3" t="s">
        <v>59</v>
      </c>
      <c r="H522" s="3" t="s">
        <v>58</v>
      </c>
      <c r="I522" s="3" t="s">
        <v>58</v>
      </c>
      <c r="J522" s="3" t="s">
        <v>60</v>
      </c>
      <c r="K522" s="2" t="s">
        <v>3895</v>
      </c>
      <c r="L522" s="2" t="s">
        <v>3896</v>
      </c>
      <c r="M522" s="3" t="s">
        <v>321</v>
      </c>
      <c r="O522" s="3" t="s">
        <v>64</v>
      </c>
      <c r="P522" s="3" t="s">
        <v>65</v>
      </c>
      <c r="R522" s="3" t="s">
        <v>1346</v>
      </c>
      <c r="S522" s="4">
        <v>3</v>
      </c>
      <c r="T522" s="4">
        <v>6</v>
      </c>
      <c r="U522" s="5" t="s">
        <v>3897</v>
      </c>
      <c r="V522" s="5" t="s">
        <v>3897</v>
      </c>
      <c r="W522" s="5" t="s">
        <v>3664</v>
      </c>
      <c r="X522" s="5" t="s">
        <v>3664</v>
      </c>
      <c r="Y522" s="4">
        <v>383</v>
      </c>
      <c r="Z522" s="4">
        <v>295</v>
      </c>
      <c r="AA522" s="4">
        <v>299</v>
      </c>
      <c r="AB522" s="4">
        <v>2</v>
      </c>
      <c r="AC522" s="4">
        <v>2</v>
      </c>
      <c r="AD522" s="4">
        <v>7</v>
      </c>
      <c r="AE522" s="4">
        <v>7</v>
      </c>
      <c r="AF522" s="4">
        <v>1</v>
      </c>
      <c r="AG522" s="4">
        <v>1</v>
      </c>
      <c r="AH522" s="4">
        <v>4</v>
      </c>
      <c r="AI522" s="4">
        <v>4</v>
      </c>
      <c r="AJ522" s="4">
        <v>3</v>
      </c>
      <c r="AK522" s="4">
        <v>3</v>
      </c>
      <c r="AL522" s="4">
        <v>1</v>
      </c>
      <c r="AM522" s="4">
        <v>1</v>
      </c>
      <c r="AN522" s="4">
        <v>0</v>
      </c>
      <c r="AO522" s="4">
        <v>0</v>
      </c>
      <c r="AP522" s="3" t="s">
        <v>58</v>
      </c>
      <c r="AQ522" s="3" t="s">
        <v>115</v>
      </c>
      <c r="AR522" s="6" t="str">
        <f>HYPERLINK("http://catalog.hathitrust.org/Record/000232255","HathiTrust Record")</f>
        <v>HathiTrust Record</v>
      </c>
      <c r="AS522" s="6" t="str">
        <f>HYPERLINK("https://creighton-primo.hosted.exlibrisgroup.com/primo-explore/search?tab=default_tab&amp;search_scope=EVERYTHING&amp;vid=01CRU&amp;lang=en_US&amp;offset=0&amp;query=any,contains,991000960689702656","Catalog Record")</f>
        <v>Catalog Record</v>
      </c>
      <c r="AT522" s="6" t="str">
        <f>HYPERLINK("http://www.worldcat.org/oclc/2493549","WorldCat Record")</f>
        <v>WorldCat Record</v>
      </c>
    </row>
    <row r="523" spans="1:46" ht="40.5" customHeight="1" x14ac:dyDescent="0.25">
      <c r="A523" s="8" t="s">
        <v>58</v>
      </c>
      <c r="B523" s="2" t="s">
        <v>3898</v>
      </c>
      <c r="C523" s="2" t="s">
        <v>3899</v>
      </c>
      <c r="D523" s="2" t="s">
        <v>3900</v>
      </c>
      <c r="F523" s="3" t="s">
        <v>58</v>
      </c>
      <c r="G523" s="3" t="s">
        <v>59</v>
      </c>
      <c r="H523" s="3" t="s">
        <v>58</v>
      </c>
      <c r="I523" s="3" t="s">
        <v>58</v>
      </c>
      <c r="J523" s="3" t="s">
        <v>60</v>
      </c>
      <c r="L523" s="2" t="s">
        <v>3901</v>
      </c>
      <c r="M523" s="3" t="s">
        <v>95</v>
      </c>
      <c r="O523" s="3" t="s">
        <v>64</v>
      </c>
      <c r="P523" s="3" t="s">
        <v>1512</v>
      </c>
      <c r="Q523" s="2" t="s">
        <v>3902</v>
      </c>
      <c r="R523" s="3" t="s">
        <v>1346</v>
      </c>
      <c r="S523" s="4">
        <v>0</v>
      </c>
      <c r="T523" s="4">
        <v>0</v>
      </c>
      <c r="U523" s="5" t="s">
        <v>3903</v>
      </c>
      <c r="V523" s="5" t="s">
        <v>3903</v>
      </c>
      <c r="W523" s="5" t="s">
        <v>3904</v>
      </c>
      <c r="X523" s="5" t="s">
        <v>3904</v>
      </c>
      <c r="Y523" s="4">
        <v>29</v>
      </c>
      <c r="Z523" s="4">
        <v>20</v>
      </c>
      <c r="AA523" s="4">
        <v>52</v>
      </c>
      <c r="AB523" s="4">
        <v>1</v>
      </c>
      <c r="AC523" s="4">
        <v>1</v>
      </c>
      <c r="AD523" s="4">
        <v>0</v>
      </c>
      <c r="AE523" s="4">
        <v>3</v>
      </c>
      <c r="AF523" s="4">
        <v>0</v>
      </c>
      <c r="AG523" s="4">
        <v>2</v>
      </c>
      <c r="AH523" s="4">
        <v>0</v>
      </c>
      <c r="AI523" s="4">
        <v>1</v>
      </c>
      <c r="AJ523" s="4">
        <v>0</v>
      </c>
      <c r="AK523" s="4">
        <v>2</v>
      </c>
      <c r="AL523" s="4">
        <v>0</v>
      </c>
      <c r="AM523" s="4">
        <v>0</v>
      </c>
      <c r="AN523" s="4">
        <v>0</v>
      </c>
      <c r="AO523" s="4">
        <v>0</v>
      </c>
      <c r="AP523" s="3" t="s">
        <v>58</v>
      </c>
      <c r="AQ523" s="3" t="s">
        <v>58</v>
      </c>
      <c r="AS523" s="6" t="str">
        <f>HYPERLINK("https://creighton-primo.hosted.exlibrisgroup.com/primo-explore/search?tab=default_tab&amp;search_scope=EVERYTHING&amp;vid=01CRU&amp;lang=en_US&amp;offset=0&amp;query=any,contains,991000333639702656","Catalog Record")</f>
        <v>Catalog Record</v>
      </c>
      <c r="AT523" s="6" t="str">
        <f>HYPERLINK("http://www.worldcat.org/oclc/47625407","WorldCat Record")</f>
        <v>WorldCat Record</v>
      </c>
    </row>
    <row r="524" spans="1:46" ht="40.5" customHeight="1" x14ac:dyDescent="0.25">
      <c r="A524" s="8" t="s">
        <v>58</v>
      </c>
      <c r="B524" s="2" t="s">
        <v>3905</v>
      </c>
      <c r="C524" s="2" t="s">
        <v>3906</v>
      </c>
      <c r="D524" s="2" t="s">
        <v>3907</v>
      </c>
      <c r="E524" s="3" t="s">
        <v>3908</v>
      </c>
      <c r="F524" s="3" t="s">
        <v>58</v>
      </c>
      <c r="G524" s="3" t="s">
        <v>59</v>
      </c>
      <c r="H524" s="3" t="s">
        <v>58</v>
      </c>
      <c r="I524" s="3" t="s">
        <v>58</v>
      </c>
      <c r="J524" s="3" t="s">
        <v>60</v>
      </c>
      <c r="L524" s="2" t="s">
        <v>2898</v>
      </c>
      <c r="M524" s="3" t="s">
        <v>483</v>
      </c>
      <c r="O524" s="3" t="s">
        <v>64</v>
      </c>
      <c r="P524" s="3" t="s">
        <v>65</v>
      </c>
      <c r="Q524" s="2" t="s">
        <v>3909</v>
      </c>
      <c r="R524" s="3" t="s">
        <v>1346</v>
      </c>
      <c r="S524" s="4">
        <v>6</v>
      </c>
      <c r="T524" s="4">
        <v>6</v>
      </c>
      <c r="U524" s="5" t="s">
        <v>3910</v>
      </c>
      <c r="V524" s="5" t="s">
        <v>3910</v>
      </c>
      <c r="W524" s="5" t="s">
        <v>3664</v>
      </c>
      <c r="X524" s="5" t="s">
        <v>3664</v>
      </c>
      <c r="Y524" s="4">
        <v>317</v>
      </c>
      <c r="Z524" s="4">
        <v>232</v>
      </c>
      <c r="AA524" s="4">
        <v>240</v>
      </c>
      <c r="AB524" s="4">
        <v>2</v>
      </c>
      <c r="AC524" s="4">
        <v>2</v>
      </c>
      <c r="AD524" s="4">
        <v>4</v>
      </c>
      <c r="AE524" s="4">
        <v>4</v>
      </c>
      <c r="AF524" s="4">
        <v>1</v>
      </c>
      <c r="AG524" s="4">
        <v>1</v>
      </c>
      <c r="AH524" s="4">
        <v>2</v>
      </c>
      <c r="AI524" s="4">
        <v>2</v>
      </c>
      <c r="AJ524" s="4">
        <v>1</v>
      </c>
      <c r="AK524" s="4">
        <v>1</v>
      </c>
      <c r="AL524" s="4">
        <v>1</v>
      </c>
      <c r="AM524" s="4">
        <v>1</v>
      </c>
      <c r="AN524" s="4">
        <v>0</v>
      </c>
      <c r="AO524" s="4">
        <v>0</v>
      </c>
      <c r="AP524" s="3" t="s">
        <v>58</v>
      </c>
      <c r="AQ524" s="3" t="s">
        <v>115</v>
      </c>
      <c r="AR524" s="6" t="str">
        <f>HYPERLINK("http://catalog.hathitrust.org/Record/000039656","HathiTrust Record")</f>
        <v>HathiTrust Record</v>
      </c>
      <c r="AS524" s="6" t="str">
        <f>HYPERLINK("https://creighton-primo.hosted.exlibrisgroup.com/primo-explore/search?tab=default_tab&amp;search_scope=EVERYTHING&amp;vid=01CRU&amp;lang=en_US&amp;offset=0&amp;query=any,contains,991000960659702656","Catalog Record")</f>
        <v>Catalog Record</v>
      </c>
      <c r="AT524" s="6" t="str">
        <f>HYPERLINK("http://www.worldcat.org/oclc/4135489","WorldCat Record")</f>
        <v>WorldCat Record</v>
      </c>
    </row>
    <row r="525" spans="1:46" ht="40.5" customHeight="1" x14ac:dyDescent="0.25">
      <c r="A525" s="8" t="s">
        <v>58</v>
      </c>
      <c r="B525" s="2" t="s">
        <v>3911</v>
      </c>
      <c r="C525" s="2" t="s">
        <v>3912</v>
      </c>
      <c r="D525" s="2" t="s">
        <v>3913</v>
      </c>
      <c r="F525" s="3" t="s">
        <v>58</v>
      </c>
      <c r="G525" s="3" t="s">
        <v>59</v>
      </c>
      <c r="H525" s="3" t="s">
        <v>58</v>
      </c>
      <c r="I525" s="3" t="s">
        <v>58</v>
      </c>
      <c r="J525" s="3" t="s">
        <v>60</v>
      </c>
      <c r="L525" s="2" t="s">
        <v>3914</v>
      </c>
      <c r="M525" s="3" t="s">
        <v>515</v>
      </c>
      <c r="O525" s="3" t="s">
        <v>64</v>
      </c>
      <c r="P525" s="3" t="s">
        <v>643</v>
      </c>
      <c r="Q525" s="2" t="s">
        <v>3915</v>
      </c>
      <c r="R525" s="3" t="s">
        <v>1346</v>
      </c>
      <c r="S525" s="4">
        <v>21</v>
      </c>
      <c r="T525" s="4">
        <v>21</v>
      </c>
      <c r="U525" s="5" t="s">
        <v>3916</v>
      </c>
      <c r="V525" s="5" t="s">
        <v>3916</v>
      </c>
      <c r="W525" s="5" t="s">
        <v>3664</v>
      </c>
      <c r="X525" s="5" t="s">
        <v>3664</v>
      </c>
      <c r="Y525" s="4">
        <v>292</v>
      </c>
      <c r="Z525" s="4">
        <v>256</v>
      </c>
      <c r="AA525" s="4">
        <v>257</v>
      </c>
      <c r="AB525" s="4">
        <v>3</v>
      </c>
      <c r="AC525" s="4">
        <v>3</v>
      </c>
      <c r="AD525" s="4">
        <v>10</v>
      </c>
      <c r="AE525" s="4">
        <v>10</v>
      </c>
      <c r="AF525" s="4">
        <v>3</v>
      </c>
      <c r="AG525" s="4">
        <v>3</v>
      </c>
      <c r="AH525" s="4">
        <v>2</v>
      </c>
      <c r="AI525" s="4">
        <v>2</v>
      </c>
      <c r="AJ525" s="4">
        <v>5</v>
      </c>
      <c r="AK525" s="4">
        <v>5</v>
      </c>
      <c r="AL525" s="4">
        <v>2</v>
      </c>
      <c r="AM525" s="4">
        <v>2</v>
      </c>
      <c r="AN525" s="4">
        <v>0</v>
      </c>
      <c r="AO525" s="4">
        <v>0</v>
      </c>
      <c r="AP525" s="3" t="s">
        <v>58</v>
      </c>
      <c r="AQ525" s="3" t="s">
        <v>58</v>
      </c>
      <c r="AS525" s="6" t="str">
        <f>HYPERLINK("https://creighton-primo.hosted.exlibrisgroup.com/primo-explore/search?tab=default_tab&amp;search_scope=EVERYTHING&amp;vid=01CRU&amp;lang=en_US&amp;offset=0&amp;query=any,contains,991001267659702656","Catalog Record")</f>
        <v>Catalog Record</v>
      </c>
      <c r="AT525" s="6" t="str">
        <f>HYPERLINK("http://www.worldcat.org/oclc/13270835","WorldCat Record")</f>
        <v>WorldCat Record</v>
      </c>
    </row>
    <row r="526" spans="1:46" ht="40.5" customHeight="1" x14ac:dyDescent="0.25">
      <c r="A526" s="8" t="s">
        <v>58</v>
      </c>
      <c r="B526" s="2" t="s">
        <v>3917</v>
      </c>
      <c r="C526" s="2" t="s">
        <v>3918</v>
      </c>
      <c r="D526" s="2" t="s">
        <v>3919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60</v>
      </c>
      <c r="K526" s="2" t="s">
        <v>3920</v>
      </c>
      <c r="L526" s="2" t="s">
        <v>3921</v>
      </c>
      <c r="M526" s="3" t="s">
        <v>454</v>
      </c>
      <c r="O526" s="3" t="s">
        <v>64</v>
      </c>
      <c r="P526" s="3" t="s">
        <v>65</v>
      </c>
      <c r="R526" s="3" t="s">
        <v>1346</v>
      </c>
      <c r="S526" s="4">
        <v>5</v>
      </c>
      <c r="T526" s="4">
        <v>5</v>
      </c>
      <c r="U526" s="5" t="s">
        <v>3922</v>
      </c>
      <c r="V526" s="5" t="s">
        <v>3922</v>
      </c>
      <c r="W526" s="5" t="s">
        <v>3156</v>
      </c>
      <c r="X526" s="5" t="s">
        <v>3156</v>
      </c>
      <c r="Y526" s="4">
        <v>147</v>
      </c>
      <c r="Z526" s="4">
        <v>107</v>
      </c>
      <c r="AA526" s="4">
        <v>168</v>
      </c>
      <c r="AB526" s="4">
        <v>1</v>
      </c>
      <c r="AC526" s="4">
        <v>2</v>
      </c>
      <c r="AD526" s="4">
        <v>2</v>
      </c>
      <c r="AE526" s="4">
        <v>8</v>
      </c>
      <c r="AF526" s="4">
        <v>1</v>
      </c>
      <c r="AG526" s="4">
        <v>3</v>
      </c>
      <c r="AH526" s="4">
        <v>0</v>
      </c>
      <c r="AI526" s="4">
        <v>3</v>
      </c>
      <c r="AJ526" s="4">
        <v>1</v>
      </c>
      <c r="AK526" s="4">
        <v>2</v>
      </c>
      <c r="AL526" s="4">
        <v>0</v>
      </c>
      <c r="AM526" s="4">
        <v>1</v>
      </c>
      <c r="AN526" s="4">
        <v>0</v>
      </c>
      <c r="AO526" s="4">
        <v>0</v>
      </c>
      <c r="AP526" s="3" t="s">
        <v>58</v>
      </c>
      <c r="AQ526" s="3" t="s">
        <v>115</v>
      </c>
      <c r="AR526" s="6" t="str">
        <f>HYPERLINK("http://catalog.hathitrust.org/Record/001588093","HathiTrust Record")</f>
        <v>HathiTrust Record</v>
      </c>
      <c r="AS526" s="6" t="str">
        <f>HYPERLINK("https://creighton-primo.hosted.exlibrisgroup.com/primo-explore/search?tab=default_tab&amp;search_scope=EVERYTHING&amp;vid=01CRU&amp;lang=en_US&amp;offset=0&amp;query=any,contains,991000961629702656","Catalog Record")</f>
        <v>Catalog Record</v>
      </c>
      <c r="AT526" s="6" t="str">
        <f>HYPERLINK("http://www.worldcat.org/oclc/14603983","WorldCat Record")</f>
        <v>WorldCat Record</v>
      </c>
    </row>
    <row r="527" spans="1:46" ht="40.5" customHeight="1" x14ac:dyDescent="0.25">
      <c r="A527" s="8" t="s">
        <v>58</v>
      </c>
      <c r="B527" s="2" t="s">
        <v>3923</v>
      </c>
      <c r="C527" s="2" t="s">
        <v>3924</v>
      </c>
      <c r="D527" s="2" t="s">
        <v>3925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60</v>
      </c>
      <c r="L527" s="2" t="s">
        <v>3926</v>
      </c>
      <c r="M527" s="3" t="s">
        <v>189</v>
      </c>
      <c r="O527" s="3" t="s">
        <v>64</v>
      </c>
      <c r="P527" s="3" t="s">
        <v>65</v>
      </c>
      <c r="Q527" s="2" t="s">
        <v>3927</v>
      </c>
      <c r="R527" s="3" t="s">
        <v>1346</v>
      </c>
      <c r="S527" s="4">
        <v>6</v>
      </c>
      <c r="T527" s="4">
        <v>6</v>
      </c>
      <c r="U527" s="5" t="s">
        <v>3928</v>
      </c>
      <c r="V527" s="5" t="s">
        <v>3928</v>
      </c>
      <c r="W527" s="5" t="s">
        <v>3929</v>
      </c>
      <c r="X527" s="5" t="s">
        <v>3929</v>
      </c>
      <c r="Y527" s="4">
        <v>117</v>
      </c>
      <c r="Z527" s="4">
        <v>78</v>
      </c>
      <c r="AA527" s="4">
        <v>85</v>
      </c>
      <c r="AB527" s="4">
        <v>1</v>
      </c>
      <c r="AC527" s="4">
        <v>1</v>
      </c>
      <c r="AD527" s="4">
        <v>3</v>
      </c>
      <c r="AE527" s="4">
        <v>3</v>
      </c>
      <c r="AF527" s="4">
        <v>1</v>
      </c>
      <c r="AG527" s="4">
        <v>1</v>
      </c>
      <c r="AH527" s="4">
        <v>0</v>
      </c>
      <c r="AI527" s="4">
        <v>0</v>
      </c>
      <c r="AJ527" s="4">
        <v>3</v>
      </c>
      <c r="AK527" s="4">
        <v>3</v>
      </c>
      <c r="AL527" s="4">
        <v>0</v>
      </c>
      <c r="AM527" s="4">
        <v>0</v>
      </c>
      <c r="AN527" s="4">
        <v>0</v>
      </c>
      <c r="AO527" s="4">
        <v>0</v>
      </c>
      <c r="AP527" s="3" t="s">
        <v>58</v>
      </c>
      <c r="AQ527" s="3" t="s">
        <v>115</v>
      </c>
      <c r="AR527" s="6" t="str">
        <f>HYPERLINK("http://catalog.hathitrust.org/Record/002559323","HathiTrust Record")</f>
        <v>HathiTrust Record</v>
      </c>
      <c r="AS527" s="6" t="str">
        <f>HYPERLINK("https://creighton-primo.hosted.exlibrisgroup.com/primo-explore/search?tab=default_tab&amp;search_scope=EVERYTHING&amp;vid=01CRU&amp;lang=en_US&amp;offset=0&amp;query=any,contains,991001510459702656","Catalog Record")</f>
        <v>Catalog Record</v>
      </c>
      <c r="AT527" s="6" t="str">
        <f>HYPERLINK("http://www.worldcat.org/oclc/24378648","WorldCat Record")</f>
        <v>WorldCat Record</v>
      </c>
    </row>
    <row r="528" spans="1:46" ht="40.5" customHeight="1" x14ac:dyDescent="0.25">
      <c r="A528" s="8" t="s">
        <v>58</v>
      </c>
      <c r="B528" s="2" t="s">
        <v>3930</v>
      </c>
      <c r="C528" s="2" t="s">
        <v>3931</v>
      </c>
      <c r="D528" s="2" t="s">
        <v>3932</v>
      </c>
      <c r="F528" s="3" t="s">
        <v>58</v>
      </c>
      <c r="G528" s="3" t="s">
        <v>59</v>
      </c>
      <c r="H528" s="3" t="s">
        <v>115</v>
      </c>
      <c r="I528" s="3" t="s">
        <v>58</v>
      </c>
      <c r="J528" s="3" t="s">
        <v>60</v>
      </c>
      <c r="L528" s="2" t="s">
        <v>3933</v>
      </c>
      <c r="M528" s="3" t="s">
        <v>189</v>
      </c>
      <c r="O528" s="3" t="s">
        <v>64</v>
      </c>
      <c r="P528" s="3" t="s">
        <v>1355</v>
      </c>
      <c r="Q528" s="2" t="s">
        <v>3934</v>
      </c>
      <c r="R528" s="3" t="s">
        <v>1346</v>
      </c>
      <c r="S528" s="4">
        <v>6</v>
      </c>
      <c r="T528" s="4">
        <v>6</v>
      </c>
      <c r="U528" s="5" t="s">
        <v>2816</v>
      </c>
      <c r="V528" s="5" t="s">
        <v>2816</v>
      </c>
      <c r="W528" s="5" t="s">
        <v>3929</v>
      </c>
      <c r="X528" s="5" t="s">
        <v>3929</v>
      </c>
      <c r="Y528" s="4">
        <v>98</v>
      </c>
      <c r="Z528" s="4">
        <v>68</v>
      </c>
      <c r="AA528" s="4">
        <v>111</v>
      </c>
      <c r="AB528" s="4">
        <v>2</v>
      </c>
      <c r="AC528" s="4">
        <v>2</v>
      </c>
      <c r="AD528" s="4">
        <v>1</v>
      </c>
      <c r="AE528" s="4">
        <v>4</v>
      </c>
      <c r="AF528" s="4">
        <v>0</v>
      </c>
      <c r="AG528" s="4">
        <v>2</v>
      </c>
      <c r="AH528" s="4">
        <v>0</v>
      </c>
      <c r="AI528" s="4">
        <v>2</v>
      </c>
      <c r="AJ528" s="4">
        <v>1</v>
      </c>
      <c r="AK528" s="4">
        <v>1</v>
      </c>
      <c r="AL528" s="4">
        <v>0</v>
      </c>
      <c r="AM528" s="4">
        <v>0</v>
      </c>
      <c r="AN528" s="4">
        <v>0</v>
      </c>
      <c r="AO528" s="4">
        <v>0</v>
      </c>
      <c r="AP528" s="3" t="s">
        <v>58</v>
      </c>
      <c r="AQ528" s="3" t="s">
        <v>58</v>
      </c>
      <c r="AS528" s="6" t="str">
        <f>HYPERLINK("https://creighton-primo.hosted.exlibrisgroup.com/primo-explore/search?tab=default_tab&amp;search_scope=EVERYTHING&amp;vid=01CRU&amp;lang=en_US&amp;offset=0&amp;query=any,contains,991001510399702656","Catalog Record")</f>
        <v>Catalog Record</v>
      </c>
      <c r="AT528" s="6" t="str">
        <f>HYPERLINK("http://www.worldcat.org/oclc/27196220","WorldCat Record")</f>
        <v>WorldCat Record</v>
      </c>
    </row>
    <row r="529" spans="1:46" ht="40.5" customHeight="1" x14ac:dyDescent="0.25">
      <c r="A529" s="8" t="s">
        <v>58</v>
      </c>
      <c r="B529" s="2" t="s">
        <v>3935</v>
      </c>
      <c r="C529" s="2" t="s">
        <v>3936</v>
      </c>
      <c r="D529" s="2" t="s">
        <v>3937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60</v>
      </c>
      <c r="K529" s="2" t="s">
        <v>3938</v>
      </c>
      <c r="L529" s="2" t="s">
        <v>3939</v>
      </c>
      <c r="M529" s="3" t="s">
        <v>3940</v>
      </c>
      <c r="O529" s="3" t="s">
        <v>64</v>
      </c>
      <c r="P529" s="3" t="s">
        <v>265</v>
      </c>
      <c r="Q529" s="2" t="s">
        <v>3941</v>
      </c>
      <c r="R529" s="3" t="s">
        <v>1346</v>
      </c>
      <c r="S529" s="4">
        <v>1</v>
      </c>
      <c r="T529" s="4">
        <v>1</v>
      </c>
      <c r="U529" s="5" t="s">
        <v>3928</v>
      </c>
      <c r="V529" s="5" t="s">
        <v>3928</v>
      </c>
      <c r="W529" s="5" t="s">
        <v>3156</v>
      </c>
      <c r="X529" s="5" t="s">
        <v>3156</v>
      </c>
      <c r="Y529" s="4">
        <v>94</v>
      </c>
      <c r="Z529" s="4">
        <v>71</v>
      </c>
      <c r="AA529" s="4">
        <v>75</v>
      </c>
      <c r="AB529" s="4">
        <v>1</v>
      </c>
      <c r="AC529" s="4">
        <v>1</v>
      </c>
      <c r="AD529" s="4">
        <v>2</v>
      </c>
      <c r="AE529" s="4">
        <v>2</v>
      </c>
      <c r="AF529" s="4">
        <v>1</v>
      </c>
      <c r="AG529" s="4">
        <v>1</v>
      </c>
      <c r="AH529" s="4">
        <v>0</v>
      </c>
      <c r="AI529" s="4">
        <v>0</v>
      </c>
      <c r="AJ529" s="4">
        <v>1</v>
      </c>
      <c r="AK529" s="4">
        <v>1</v>
      </c>
      <c r="AL529" s="4">
        <v>0</v>
      </c>
      <c r="AM529" s="4">
        <v>0</v>
      </c>
      <c r="AN529" s="4">
        <v>0</v>
      </c>
      <c r="AO529" s="4">
        <v>0</v>
      </c>
      <c r="AP529" s="3" t="s">
        <v>58</v>
      </c>
      <c r="AQ529" s="3" t="s">
        <v>58</v>
      </c>
      <c r="AR529" s="6" t="str">
        <f>HYPERLINK("http://catalog.hathitrust.org/Record/000852967","HathiTrust Record")</f>
        <v>HathiTrust Record</v>
      </c>
      <c r="AS529" s="6" t="str">
        <f>HYPERLINK("https://creighton-primo.hosted.exlibrisgroup.com/primo-explore/search?tab=default_tab&amp;search_scope=EVERYTHING&amp;vid=01CRU&amp;lang=en_US&amp;offset=0&amp;query=any,contains,991000961549702656","Catalog Record")</f>
        <v>Catalog Record</v>
      </c>
      <c r="AT529" s="6" t="str">
        <f>HYPERLINK("http://www.worldcat.org/oclc/2688911","WorldCat Record")</f>
        <v>WorldCat Record</v>
      </c>
    </row>
    <row r="530" spans="1:46" ht="40.5" customHeight="1" x14ac:dyDescent="0.25">
      <c r="A530" s="8" t="s">
        <v>58</v>
      </c>
      <c r="B530" s="2" t="s">
        <v>3942</v>
      </c>
      <c r="C530" s="2" t="s">
        <v>3943</v>
      </c>
      <c r="D530" s="2" t="s">
        <v>3944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60</v>
      </c>
      <c r="L530" s="2" t="s">
        <v>3945</v>
      </c>
      <c r="M530" s="3" t="s">
        <v>189</v>
      </c>
      <c r="O530" s="3" t="s">
        <v>64</v>
      </c>
      <c r="P530" s="3" t="s">
        <v>3009</v>
      </c>
      <c r="R530" s="3" t="s">
        <v>1346</v>
      </c>
      <c r="S530" s="4">
        <v>11</v>
      </c>
      <c r="T530" s="4">
        <v>11</v>
      </c>
      <c r="U530" s="5" t="s">
        <v>3928</v>
      </c>
      <c r="V530" s="5" t="s">
        <v>3928</v>
      </c>
      <c r="W530" s="5" t="s">
        <v>3946</v>
      </c>
      <c r="X530" s="5" t="s">
        <v>3946</v>
      </c>
      <c r="Y530" s="4">
        <v>138</v>
      </c>
      <c r="Z530" s="4">
        <v>108</v>
      </c>
      <c r="AA530" s="4">
        <v>108</v>
      </c>
      <c r="AB530" s="4">
        <v>2</v>
      </c>
      <c r="AC530" s="4">
        <v>2</v>
      </c>
      <c r="AD530" s="4">
        <v>4</v>
      </c>
      <c r="AE530" s="4">
        <v>4</v>
      </c>
      <c r="AF530" s="4">
        <v>1</v>
      </c>
      <c r="AG530" s="4">
        <v>1</v>
      </c>
      <c r="AH530" s="4">
        <v>1</v>
      </c>
      <c r="AI530" s="4">
        <v>1</v>
      </c>
      <c r="AJ530" s="4">
        <v>1</v>
      </c>
      <c r="AK530" s="4">
        <v>1</v>
      </c>
      <c r="AL530" s="4">
        <v>1</v>
      </c>
      <c r="AM530" s="4">
        <v>1</v>
      </c>
      <c r="AN530" s="4">
        <v>0</v>
      </c>
      <c r="AO530" s="4">
        <v>0</v>
      </c>
      <c r="AP530" s="3" t="s">
        <v>58</v>
      </c>
      <c r="AQ530" s="3" t="s">
        <v>58</v>
      </c>
      <c r="AS530" s="6" t="str">
        <f>HYPERLINK("https://creighton-primo.hosted.exlibrisgroup.com/primo-explore/search?tab=default_tab&amp;search_scope=EVERYTHING&amp;vid=01CRU&amp;lang=en_US&amp;offset=0&amp;query=any,contains,991001301709702656","Catalog Record")</f>
        <v>Catalog Record</v>
      </c>
      <c r="AT530" s="6" t="str">
        <f>HYPERLINK("http://www.worldcat.org/oclc/24318415","WorldCat Record")</f>
        <v>WorldCat Record</v>
      </c>
    </row>
    <row r="531" spans="1:46" ht="40.5" customHeight="1" x14ac:dyDescent="0.25">
      <c r="A531" s="8" t="s">
        <v>58</v>
      </c>
      <c r="B531" s="2" t="s">
        <v>3947</v>
      </c>
      <c r="C531" s="2" t="s">
        <v>3948</v>
      </c>
      <c r="D531" s="2" t="s">
        <v>3949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60</v>
      </c>
      <c r="L531" s="2" t="s">
        <v>3950</v>
      </c>
      <c r="M531" s="3" t="s">
        <v>365</v>
      </c>
      <c r="O531" s="3" t="s">
        <v>64</v>
      </c>
      <c r="P531" s="3" t="s">
        <v>65</v>
      </c>
      <c r="Q531" s="2" t="s">
        <v>3951</v>
      </c>
      <c r="R531" s="3" t="s">
        <v>1346</v>
      </c>
      <c r="S531" s="4">
        <v>19</v>
      </c>
      <c r="T531" s="4">
        <v>19</v>
      </c>
      <c r="U531" s="5" t="s">
        <v>3952</v>
      </c>
      <c r="V531" s="5" t="s">
        <v>3952</v>
      </c>
      <c r="W531" s="5" t="s">
        <v>3953</v>
      </c>
      <c r="X531" s="5" t="s">
        <v>3953</v>
      </c>
      <c r="Y531" s="4">
        <v>229</v>
      </c>
      <c r="Z531" s="4">
        <v>163</v>
      </c>
      <c r="AA531" s="4">
        <v>173</v>
      </c>
      <c r="AB531" s="4">
        <v>2</v>
      </c>
      <c r="AC531" s="4">
        <v>2</v>
      </c>
      <c r="AD531" s="4">
        <v>6</v>
      </c>
      <c r="AE531" s="4">
        <v>7</v>
      </c>
      <c r="AF531" s="4">
        <v>1</v>
      </c>
      <c r="AG531" s="4">
        <v>1</v>
      </c>
      <c r="AH531" s="4">
        <v>2</v>
      </c>
      <c r="AI531" s="4">
        <v>3</v>
      </c>
      <c r="AJ531" s="4">
        <v>3</v>
      </c>
      <c r="AK531" s="4">
        <v>4</v>
      </c>
      <c r="AL531" s="4">
        <v>1</v>
      </c>
      <c r="AM531" s="4">
        <v>1</v>
      </c>
      <c r="AN531" s="4">
        <v>0</v>
      </c>
      <c r="AO531" s="4">
        <v>0</v>
      </c>
      <c r="AP531" s="3" t="s">
        <v>58</v>
      </c>
      <c r="AQ531" s="3" t="s">
        <v>58</v>
      </c>
      <c r="AS531" s="6" t="str">
        <f>HYPERLINK("https://creighton-primo.hosted.exlibrisgroup.com/primo-explore/search?tab=default_tab&amp;search_scope=EVERYTHING&amp;vid=01CRU&amp;lang=en_US&amp;offset=0&amp;query=any,contains,991001564139702656","Catalog Record")</f>
        <v>Catalog Record</v>
      </c>
      <c r="AT531" s="6" t="str">
        <f>HYPERLINK("http://www.worldcat.org/oclc/36459080","WorldCat Record")</f>
        <v>WorldCat Record</v>
      </c>
    </row>
    <row r="532" spans="1:46" ht="40.5" customHeight="1" x14ac:dyDescent="0.25">
      <c r="A532" s="8" t="s">
        <v>58</v>
      </c>
      <c r="B532" s="2" t="s">
        <v>3954</v>
      </c>
      <c r="C532" s="2" t="s">
        <v>3955</v>
      </c>
      <c r="D532" s="2" t="s">
        <v>3956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60</v>
      </c>
      <c r="L532" s="2" t="s">
        <v>3957</v>
      </c>
      <c r="M532" s="3" t="s">
        <v>380</v>
      </c>
      <c r="O532" s="3" t="s">
        <v>64</v>
      </c>
      <c r="P532" s="3" t="s">
        <v>190</v>
      </c>
      <c r="R532" s="3" t="s">
        <v>1346</v>
      </c>
      <c r="S532" s="4">
        <v>9</v>
      </c>
      <c r="T532" s="4">
        <v>9</v>
      </c>
      <c r="U532" s="5" t="s">
        <v>3958</v>
      </c>
      <c r="V532" s="5" t="s">
        <v>3958</v>
      </c>
      <c r="W532" s="5" t="s">
        <v>1778</v>
      </c>
      <c r="X532" s="5" t="s">
        <v>1778</v>
      </c>
      <c r="Y532" s="4">
        <v>126</v>
      </c>
      <c r="Z532" s="4">
        <v>77</v>
      </c>
      <c r="AA532" s="4">
        <v>104</v>
      </c>
      <c r="AB532" s="4">
        <v>2</v>
      </c>
      <c r="AC532" s="4">
        <v>2</v>
      </c>
      <c r="AD532" s="4">
        <v>4</v>
      </c>
      <c r="AE532" s="4">
        <v>4</v>
      </c>
      <c r="AF532" s="4">
        <v>1</v>
      </c>
      <c r="AG532" s="4">
        <v>1</v>
      </c>
      <c r="AH532" s="4">
        <v>1</v>
      </c>
      <c r="AI532" s="4">
        <v>1</v>
      </c>
      <c r="AJ532" s="4">
        <v>2</v>
      </c>
      <c r="AK532" s="4">
        <v>2</v>
      </c>
      <c r="AL532" s="4">
        <v>1</v>
      </c>
      <c r="AM532" s="4">
        <v>1</v>
      </c>
      <c r="AN532" s="4">
        <v>0</v>
      </c>
      <c r="AO532" s="4">
        <v>0</v>
      </c>
      <c r="AP532" s="3" t="s">
        <v>58</v>
      </c>
      <c r="AQ532" s="3" t="s">
        <v>115</v>
      </c>
      <c r="AR532" s="6" t="str">
        <f>HYPERLINK("http://catalog.hathitrust.org/Record/002606197","HathiTrust Record")</f>
        <v>HathiTrust Record</v>
      </c>
      <c r="AS532" s="6" t="str">
        <f>HYPERLINK("https://creighton-primo.hosted.exlibrisgroup.com/primo-explore/search?tab=default_tab&amp;search_scope=EVERYTHING&amp;vid=01CRU&amp;lang=en_US&amp;offset=0&amp;query=any,contains,991001512209702656","Catalog Record")</f>
        <v>Catalog Record</v>
      </c>
      <c r="AT532" s="6" t="str">
        <f>HYPERLINK("http://www.worldcat.org/oclc/26220030","WorldCat Record")</f>
        <v>WorldCat Record</v>
      </c>
    </row>
    <row r="533" spans="1:46" ht="40.5" customHeight="1" x14ac:dyDescent="0.25">
      <c r="A533" s="8" t="s">
        <v>58</v>
      </c>
      <c r="B533" s="2" t="s">
        <v>3959</v>
      </c>
      <c r="C533" s="2" t="s">
        <v>3960</v>
      </c>
      <c r="D533" s="2" t="s">
        <v>3961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60</v>
      </c>
      <c r="L533" s="2" t="s">
        <v>3962</v>
      </c>
      <c r="M533" s="3" t="s">
        <v>290</v>
      </c>
      <c r="O533" s="3" t="s">
        <v>64</v>
      </c>
      <c r="P533" s="3" t="s">
        <v>1355</v>
      </c>
      <c r="Q533" s="2" t="s">
        <v>3963</v>
      </c>
      <c r="R533" s="3" t="s">
        <v>1346</v>
      </c>
      <c r="S533" s="4">
        <v>9</v>
      </c>
      <c r="T533" s="4">
        <v>9</v>
      </c>
      <c r="U533" s="5" t="s">
        <v>3928</v>
      </c>
      <c r="V533" s="5" t="s">
        <v>3928</v>
      </c>
      <c r="W533" s="5" t="s">
        <v>3964</v>
      </c>
      <c r="X533" s="5" t="s">
        <v>3964</v>
      </c>
      <c r="Y533" s="4">
        <v>77</v>
      </c>
      <c r="Z533" s="4">
        <v>51</v>
      </c>
      <c r="AA533" s="4">
        <v>74</v>
      </c>
      <c r="AB533" s="4">
        <v>1</v>
      </c>
      <c r="AC533" s="4">
        <v>1</v>
      </c>
      <c r="AD533" s="4">
        <v>1</v>
      </c>
      <c r="AE533" s="4">
        <v>1</v>
      </c>
      <c r="AF533" s="4">
        <v>0</v>
      </c>
      <c r="AG533" s="4">
        <v>0</v>
      </c>
      <c r="AH533" s="4">
        <v>0</v>
      </c>
      <c r="AI533" s="4">
        <v>0</v>
      </c>
      <c r="AJ533" s="4">
        <v>1</v>
      </c>
      <c r="AK533" s="4">
        <v>1</v>
      </c>
      <c r="AL533" s="4">
        <v>0</v>
      </c>
      <c r="AM533" s="4">
        <v>0</v>
      </c>
      <c r="AN533" s="4">
        <v>0</v>
      </c>
      <c r="AO533" s="4">
        <v>0</v>
      </c>
      <c r="AP533" s="3" t="s">
        <v>58</v>
      </c>
      <c r="AQ533" s="3" t="s">
        <v>115</v>
      </c>
      <c r="AR533" s="6" t="str">
        <f>HYPERLINK("http://catalog.hathitrust.org/Record/000905964","HathiTrust Record")</f>
        <v>HathiTrust Record</v>
      </c>
      <c r="AS533" s="6" t="str">
        <f>HYPERLINK("https://creighton-primo.hosted.exlibrisgroup.com/primo-explore/search?tab=default_tab&amp;search_scope=EVERYTHING&amp;vid=01CRU&amp;lang=en_US&amp;offset=0&amp;query=any,contains,991001418989702656","Catalog Record")</f>
        <v>Catalog Record</v>
      </c>
      <c r="AT533" s="6" t="str">
        <f>HYPERLINK("http://www.worldcat.org/oclc/17508940","WorldCat Record")</f>
        <v>WorldCat Record</v>
      </c>
    </row>
    <row r="534" spans="1:46" ht="40.5" customHeight="1" x14ac:dyDescent="0.25">
      <c r="A534" s="8" t="s">
        <v>58</v>
      </c>
      <c r="B534" s="2" t="s">
        <v>3965</v>
      </c>
      <c r="C534" s="2" t="s">
        <v>3966</v>
      </c>
      <c r="D534" s="2" t="s">
        <v>3967</v>
      </c>
      <c r="F534" s="3" t="s">
        <v>58</v>
      </c>
      <c r="G534" s="3" t="s">
        <v>59</v>
      </c>
      <c r="H534" s="3" t="s">
        <v>58</v>
      </c>
      <c r="I534" s="3" t="s">
        <v>58</v>
      </c>
      <c r="J534" s="3" t="s">
        <v>60</v>
      </c>
      <c r="L534" s="2" t="s">
        <v>3968</v>
      </c>
      <c r="M534" s="3" t="s">
        <v>892</v>
      </c>
      <c r="O534" s="3" t="s">
        <v>64</v>
      </c>
      <c r="P534" s="3" t="s">
        <v>65</v>
      </c>
      <c r="R534" s="3" t="s">
        <v>1346</v>
      </c>
      <c r="S534" s="4">
        <v>3</v>
      </c>
      <c r="T534" s="4">
        <v>3</v>
      </c>
      <c r="U534" s="5" t="s">
        <v>3969</v>
      </c>
      <c r="V534" s="5" t="s">
        <v>3969</v>
      </c>
      <c r="W534" s="5" t="s">
        <v>3970</v>
      </c>
      <c r="X534" s="5" t="s">
        <v>3970</v>
      </c>
      <c r="Y534" s="4">
        <v>90</v>
      </c>
      <c r="Z534" s="4">
        <v>73</v>
      </c>
      <c r="AA534" s="4">
        <v>78</v>
      </c>
      <c r="AB534" s="4">
        <v>2</v>
      </c>
      <c r="AC534" s="4">
        <v>2</v>
      </c>
      <c r="AD534" s="4">
        <v>4</v>
      </c>
      <c r="AE534" s="4">
        <v>4</v>
      </c>
      <c r="AF534" s="4">
        <v>0</v>
      </c>
      <c r="AG534" s="4">
        <v>0</v>
      </c>
      <c r="AH534" s="4">
        <v>3</v>
      </c>
      <c r="AI534" s="4">
        <v>3</v>
      </c>
      <c r="AJ534" s="4">
        <v>1</v>
      </c>
      <c r="AK534" s="4">
        <v>1</v>
      </c>
      <c r="AL534" s="4">
        <v>1</v>
      </c>
      <c r="AM534" s="4">
        <v>1</v>
      </c>
      <c r="AN534" s="4">
        <v>0</v>
      </c>
      <c r="AO534" s="4">
        <v>0</v>
      </c>
      <c r="AP534" s="3" t="s">
        <v>58</v>
      </c>
      <c r="AQ534" s="3" t="s">
        <v>58</v>
      </c>
      <c r="AS534" s="6" t="str">
        <f>HYPERLINK("https://creighton-primo.hosted.exlibrisgroup.com/primo-explore/search?tab=default_tab&amp;search_scope=EVERYTHING&amp;vid=01CRU&amp;lang=en_US&amp;offset=0&amp;query=any,contains,991000500899702656","Catalog Record")</f>
        <v>Catalog Record</v>
      </c>
      <c r="AT534" s="6" t="str">
        <f>HYPERLINK("http://www.worldcat.org/oclc/38105647","WorldCat Record")</f>
        <v>WorldCat Record</v>
      </c>
    </row>
    <row r="535" spans="1:46" ht="40.5" customHeight="1" x14ac:dyDescent="0.25">
      <c r="A535" s="8" t="s">
        <v>58</v>
      </c>
      <c r="B535" s="2" t="s">
        <v>3971</v>
      </c>
      <c r="C535" s="2" t="s">
        <v>3972</v>
      </c>
      <c r="D535" s="2" t="s">
        <v>3973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60</v>
      </c>
      <c r="L535" s="2" t="s">
        <v>3974</v>
      </c>
      <c r="M535" s="3" t="s">
        <v>290</v>
      </c>
      <c r="O535" s="3" t="s">
        <v>64</v>
      </c>
      <c r="P535" s="3" t="s">
        <v>585</v>
      </c>
      <c r="R535" s="3" t="s">
        <v>1346</v>
      </c>
      <c r="S535" s="4">
        <v>3</v>
      </c>
      <c r="T535" s="4">
        <v>3</v>
      </c>
      <c r="U535" s="5" t="s">
        <v>3928</v>
      </c>
      <c r="V535" s="5" t="s">
        <v>3928</v>
      </c>
      <c r="W535" s="5" t="s">
        <v>3975</v>
      </c>
      <c r="X535" s="5" t="s">
        <v>3975</v>
      </c>
      <c r="Y535" s="4">
        <v>131</v>
      </c>
      <c r="Z535" s="4">
        <v>97</v>
      </c>
      <c r="AA535" s="4">
        <v>116</v>
      </c>
      <c r="AB535" s="4">
        <v>1</v>
      </c>
      <c r="AC535" s="4">
        <v>1</v>
      </c>
      <c r="AD535" s="4">
        <v>2</v>
      </c>
      <c r="AE535" s="4">
        <v>3</v>
      </c>
      <c r="AF535" s="4">
        <v>0</v>
      </c>
      <c r="AG535" s="4">
        <v>1</v>
      </c>
      <c r="AH535" s="4">
        <v>2</v>
      </c>
      <c r="AI535" s="4">
        <v>2</v>
      </c>
      <c r="AJ535" s="4">
        <v>1</v>
      </c>
      <c r="AK535" s="4">
        <v>2</v>
      </c>
      <c r="AL535" s="4">
        <v>0</v>
      </c>
      <c r="AM535" s="4">
        <v>0</v>
      </c>
      <c r="AN535" s="4">
        <v>0</v>
      </c>
      <c r="AO535" s="4">
        <v>0</v>
      </c>
      <c r="AP535" s="3" t="s">
        <v>58</v>
      </c>
      <c r="AQ535" s="3" t="s">
        <v>115</v>
      </c>
      <c r="AR535" s="6" t="str">
        <f>HYPERLINK("http://catalog.hathitrust.org/Record/000944536","HathiTrust Record")</f>
        <v>HathiTrust Record</v>
      </c>
      <c r="AS535" s="6" t="str">
        <f>HYPERLINK("https://creighton-primo.hosted.exlibrisgroup.com/primo-explore/search?tab=default_tab&amp;search_scope=EVERYTHING&amp;vid=01CRU&amp;lang=en_US&amp;offset=0&amp;query=any,contains,991001105509702656","Catalog Record")</f>
        <v>Catalog Record</v>
      </c>
      <c r="AT535" s="6" t="str">
        <f>HYPERLINK("http://www.worldcat.org/oclc/17841534","WorldCat Record")</f>
        <v>WorldCat Record</v>
      </c>
    </row>
    <row r="536" spans="1:46" ht="40.5" customHeight="1" x14ac:dyDescent="0.25">
      <c r="A536" s="8" t="s">
        <v>58</v>
      </c>
      <c r="B536" s="2" t="s">
        <v>3976</v>
      </c>
      <c r="C536" s="2" t="s">
        <v>3977</v>
      </c>
      <c r="D536" s="2" t="s">
        <v>3978</v>
      </c>
      <c r="F536" s="3" t="s">
        <v>58</v>
      </c>
      <c r="G536" s="3" t="s">
        <v>59</v>
      </c>
      <c r="H536" s="3" t="s">
        <v>58</v>
      </c>
      <c r="I536" s="3" t="s">
        <v>58</v>
      </c>
      <c r="J536" s="3" t="s">
        <v>60</v>
      </c>
      <c r="L536" s="2" t="s">
        <v>3979</v>
      </c>
      <c r="M536" s="3" t="s">
        <v>290</v>
      </c>
      <c r="O536" s="3" t="s">
        <v>64</v>
      </c>
      <c r="P536" s="3" t="s">
        <v>643</v>
      </c>
      <c r="R536" s="3" t="s">
        <v>1346</v>
      </c>
      <c r="S536" s="4">
        <v>7</v>
      </c>
      <c r="T536" s="4">
        <v>7</v>
      </c>
      <c r="U536" s="5" t="s">
        <v>3928</v>
      </c>
      <c r="V536" s="5" t="s">
        <v>3928</v>
      </c>
      <c r="W536" s="5" t="s">
        <v>2189</v>
      </c>
      <c r="X536" s="5" t="s">
        <v>2189</v>
      </c>
      <c r="Y536" s="4">
        <v>338</v>
      </c>
      <c r="Z536" s="4">
        <v>242</v>
      </c>
      <c r="AA536" s="4">
        <v>244</v>
      </c>
      <c r="AB536" s="4">
        <v>3</v>
      </c>
      <c r="AC536" s="4">
        <v>3</v>
      </c>
      <c r="AD536" s="4">
        <v>9</v>
      </c>
      <c r="AE536" s="4">
        <v>9</v>
      </c>
      <c r="AF536" s="4">
        <v>4</v>
      </c>
      <c r="AG536" s="4">
        <v>4</v>
      </c>
      <c r="AH536" s="4">
        <v>3</v>
      </c>
      <c r="AI536" s="4">
        <v>3</v>
      </c>
      <c r="AJ536" s="4">
        <v>7</v>
      </c>
      <c r="AK536" s="4">
        <v>7</v>
      </c>
      <c r="AL536" s="4">
        <v>1</v>
      </c>
      <c r="AM536" s="4">
        <v>1</v>
      </c>
      <c r="AN536" s="4">
        <v>0</v>
      </c>
      <c r="AO536" s="4">
        <v>0</v>
      </c>
      <c r="AP536" s="3" t="s">
        <v>58</v>
      </c>
      <c r="AQ536" s="3" t="s">
        <v>115</v>
      </c>
      <c r="AR536" s="6" t="str">
        <f>HYPERLINK("http://catalog.hathitrust.org/Record/005055105","HathiTrust Record")</f>
        <v>HathiTrust Record</v>
      </c>
      <c r="AS536" s="6" t="str">
        <f>HYPERLINK("https://creighton-primo.hosted.exlibrisgroup.com/primo-explore/search?tab=default_tab&amp;search_scope=EVERYTHING&amp;vid=01CRU&amp;lang=en_US&amp;offset=0&amp;query=any,contains,991001322959702656","Catalog Record")</f>
        <v>Catalog Record</v>
      </c>
      <c r="AT536" s="6" t="str">
        <f>HYPERLINK("http://www.worldcat.org/oclc/18291642","WorldCat Record")</f>
        <v>WorldCat Record</v>
      </c>
    </row>
    <row r="537" spans="1:46" ht="40.5" customHeight="1" x14ac:dyDescent="0.25">
      <c r="A537" s="8" t="s">
        <v>58</v>
      </c>
      <c r="B537" s="2" t="s">
        <v>3980</v>
      </c>
      <c r="C537" s="2" t="s">
        <v>3981</v>
      </c>
      <c r="D537" s="2" t="s">
        <v>3982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60</v>
      </c>
      <c r="L537" s="2" t="s">
        <v>3983</v>
      </c>
      <c r="M537" s="3" t="s">
        <v>725</v>
      </c>
      <c r="O537" s="3" t="s">
        <v>64</v>
      </c>
      <c r="P537" s="3" t="s">
        <v>1355</v>
      </c>
      <c r="R537" s="3" t="s">
        <v>1346</v>
      </c>
      <c r="S537" s="4">
        <v>3</v>
      </c>
      <c r="T537" s="4">
        <v>3</v>
      </c>
      <c r="U537" s="5" t="s">
        <v>3928</v>
      </c>
      <c r="V537" s="5" t="s">
        <v>3928</v>
      </c>
      <c r="W537" s="5" t="s">
        <v>3664</v>
      </c>
      <c r="X537" s="5" t="s">
        <v>3664</v>
      </c>
      <c r="Y537" s="4">
        <v>144</v>
      </c>
      <c r="Z537" s="4">
        <v>95</v>
      </c>
      <c r="AA537" s="4">
        <v>102</v>
      </c>
      <c r="AB537" s="4">
        <v>1</v>
      </c>
      <c r="AC537" s="4">
        <v>1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3" t="s">
        <v>58</v>
      </c>
      <c r="AQ537" s="3" t="s">
        <v>115</v>
      </c>
      <c r="AR537" s="6" t="str">
        <f>HYPERLINK("http://catalog.hathitrust.org/Record/000109025","HathiTrust Record")</f>
        <v>HathiTrust Record</v>
      </c>
      <c r="AS537" s="6" t="str">
        <f>HYPERLINK("https://creighton-primo.hosted.exlibrisgroup.com/primo-explore/search?tab=default_tab&amp;search_scope=EVERYTHING&amp;vid=01CRU&amp;lang=en_US&amp;offset=0&amp;query=any,contains,991000961489702656","Catalog Record")</f>
        <v>Catalog Record</v>
      </c>
      <c r="AT537" s="6" t="str">
        <f>HYPERLINK("http://www.worldcat.org/oclc/8865397","WorldCat Record")</f>
        <v>WorldCat Record</v>
      </c>
    </row>
    <row r="538" spans="1:46" ht="40.5" customHeight="1" x14ac:dyDescent="0.25">
      <c r="A538" s="8" t="s">
        <v>58</v>
      </c>
      <c r="B538" s="2" t="s">
        <v>3984</v>
      </c>
      <c r="C538" s="2" t="s">
        <v>3985</v>
      </c>
      <c r="D538" s="2" t="s">
        <v>3986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60</v>
      </c>
      <c r="L538" s="2" t="s">
        <v>3987</v>
      </c>
      <c r="M538" s="3" t="s">
        <v>111</v>
      </c>
      <c r="O538" s="3" t="s">
        <v>64</v>
      </c>
      <c r="P538" s="3" t="s">
        <v>643</v>
      </c>
      <c r="Q538" s="2" t="s">
        <v>3988</v>
      </c>
      <c r="R538" s="3" t="s">
        <v>1346</v>
      </c>
      <c r="S538" s="4">
        <v>8</v>
      </c>
      <c r="T538" s="4">
        <v>8</v>
      </c>
      <c r="U538" s="5" t="s">
        <v>3989</v>
      </c>
      <c r="V538" s="5" t="s">
        <v>3989</v>
      </c>
      <c r="W538" s="5" t="s">
        <v>3156</v>
      </c>
      <c r="X538" s="5" t="s">
        <v>3156</v>
      </c>
      <c r="Y538" s="4">
        <v>169</v>
      </c>
      <c r="Z538" s="4">
        <v>137</v>
      </c>
      <c r="AA538" s="4">
        <v>143</v>
      </c>
      <c r="AB538" s="4">
        <v>1</v>
      </c>
      <c r="AC538" s="4">
        <v>1</v>
      </c>
      <c r="AD538" s="4">
        <v>3</v>
      </c>
      <c r="AE538" s="4">
        <v>4</v>
      </c>
      <c r="AF538" s="4">
        <v>0</v>
      </c>
      <c r="AG538" s="4">
        <v>0</v>
      </c>
      <c r="AH538" s="4">
        <v>2</v>
      </c>
      <c r="AI538" s="4">
        <v>3</v>
      </c>
      <c r="AJ538" s="4">
        <v>2</v>
      </c>
      <c r="AK538" s="4">
        <v>3</v>
      </c>
      <c r="AL538" s="4">
        <v>0</v>
      </c>
      <c r="AM538" s="4">
        <v>0</v>
      </c>
      <c r="AN538" s="4">
        <v>0</v>
      </c>
      <c r="AO538" s="4">
        <v>0</v>
      </c>
      <c r="AP538" s="3" t="s">
        <v>58</v>
      </c>
      <c r="AQ538" s="3" t="s">
        <v>115</v>
      </c>
      <c r="AR538" s="6" t="str">
        <f>HYPERLINK("http://catalog.hathitrust.org/Record/001644442","HathiTrust Record")</f>
        <v>HathiTrust Record</v>
      </c>
      <c r="AS538" s="6" t="str">
        <f>HYPERLINK("https://creighton-primo.hosted.exlibrisgroup.com/primo-explore/search?tab=default_tab&amp;search_scope=EVERYTHING&amp;vid=01CRU&amp;lang=en_US&amp;offset=0&amp;query=any,contains,991000961459702656","Catalog Record")</f>
        <v>Catalog Record</v>
      </c>
      <c r="AT538" s="6" t="str">
        <f>HYPERLINK("http://www.worldcat.org/oclc/1288293","WorldCat Record")</f>
        <v>WorldCat Record</v>
      </c>
    </row>
    <row r="539" spans="1:46" ht="40.5" customHeight="1" x14ac:dyDescent="0.25">
      <c r="A539" s="8" t="s">
        <v>58</v>
      </c>
      <c r="B539" s="2" t="s">
        <v>3990</v>
      </c>
      <c r="C539" s="2" t="s">
        <v>3991</v>
      </c>
      <c r="D539" s="2" t="s">
        <v>3992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60</v>
      </c>
      <c r="L539" s="2" t="s">
        <v>3993</v>
      </c>
      <c r="M539" s="3" t="s">
        <v>468</v>
      </c>
      <c r="O539" s="3" t="s">
        <v>64</v>
      </c>
      <c r="P539" s="3" t="s">
        <v>65</v>
      </c>
      <c r="Q539" s="2" t="s">
        <v>3994</v>
      </c>
      <c r="R539" s="3" t="s">
        <v>1346</v>
      </c>
      <c r="S539" s="4">
        <v>0</v>
      </c>
      <c r="T539" s="4">
        <v>0</v>
      </c>
      <c r="U539" s="5" t="s">
        <v>3995</v>
      </c>
      <c r="V539" s="5" t="s">
        <v>3995</v>
      </c>
      <c r="W539" s="5" t="s">
        <v>3996</v>
      </c>
      <c r="X539" s="5" t="s">
        <v>3996</v>
      </c>
      <c r="Y539" s="4">
        <v>90</v>
      </c>
      <c r="Z539" s="4">
        <v>57</v>
      </c>
      <c r="AA539" s="4">
        <v>88</v>
      </c>
      <c r="AB539" s="4">
        <v>2</v>
      </c>
      <c r="AC539" s="4">
        <v>2</v>
      </c>
      <c r="AD539" s="4">
        <v>2</v>
      </c>
      <c r="AE539" s="4">
        <v>3</v>
      </c>
      <c r="AF539" s="4">
        <v>0</v>
      </c>
      <c r="AG539" s="4">
        <v>0</v>
      </c>
      <c r="AH539" s="4">
        <v>1</v>
      </c>
      <c r="AI539" s="4">
        <v>2</v>
      </c>
      <c r="AJ539" s="4">
        <v>0</v>
      </c>
      <c r="AK539" s="4">
        <v>0</v>
      </c>
      <c r="AL539" s="4">
        <v>1</v>
      </c>
      <c r="AM539" s="4">
        <v>1</v>
      </c>
      <c r="AN539" s="4">
        <v>0</v>
      </c>
      <c r="AO539" s="4">
        <v>0</v>
      </c>
      <c r="AP539" s="3" t="s">
        <v>58</v>
      </c>
      <c r="AQ539" s="3" t="s">
        <v>58</v>
      </c>
      <c r="AS539" s="6" t="str">
        <f>HYPERLINK("https://creighton-primo.hosted.exlibrisgroup.com/primo-explore/search?tab=default_tab&amp;search_scope=EVERYTHING&amp;vid=01CRU&amp;lang=en_US&amp;offset=0&amp;query=any,contains,991000445949702656","Catalog Record")</f>
        <v>Catalog Record</v>
      </c>
      <c r="AT539" s="6" t="str">
        <f>HYPERLINK("http://www.worldcat.org/oclc/57414693","WorldCat Record")</f>
        <v>WorldCat Record</v>
      </c>
    </row>
    <row r="540" spans="1:46" ht="40.5" customHeight="1" x14ac:dyDescent="0.25">
      <c r="A540" s="8" t="s">
        <v>58</v>
      </c>
      <c r="B540" s="2" t="s">
        <v>3997</v>
      </c>
      <c r="C540" s="2" t="s">
        <v>3998</v>
      </c>
      <c r="D540" s="2" t="s">
        <v>3999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60</v>
      </c>
      <c r="L540" s="2" t="s">
        <v>4000</v>
      </c>
      <c r="M540" s="3" t="s">
        <v>483</v>
      </c>
      <c r="O540" s="3" t="s">
        <v>64</v>
      </c>
      <c r="P540" s="3" t="s">
        <v>112</v>
      </c>
      <c r="R540" s="3" t="s">
        <v>1346</v>
      </c>
      <c r="S540" s="4">
        <v>5</v>
      </c>
      <c r="T540" s="4">
        <v>5</v>
      </c>
      <c r="U540" s="5" t="s">
        <v>4001</v>
      </c>
      <c r="V540" s="5" t="s">
        <v>4001</v>
      </c>
      <c r="W540" s="5" t="s">
        <v>3664</v>
      </c>
      <c r="X540" s="5" t="s">
        <v>3664</v>
      </c>
      <c r="Y540" s="4">
        <v>174</v>
      </c>
      <c r="Z540" s="4">
        <v>96</v>
      </c>
      <c r="AA540" s="4">
        <v>98</v>
      </c>
      <c r="AB540" s="4">
        <v>1</v>
      </c>
      <c r="AC540" s="4">
        <v>1</v>
      </c>
      <c r="AD540" s="4">
        <v>2</v>
      </c>
      <c r="AE540" s="4">
        <v>2</v>
      </c>
      <c r="AF540" s="4">
        <v>1</v>
      </c>
      <c r="AG540" s="4">
        <v>1</v>
      </c>
      <c r="AH540" s="4">
        <v>1</v>
      </c>
      <c r="AI540" s="4">
        <v>1</v>
      </c>
      <c r="AJ540" s="4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0</v>
      </c>
      <c r="AP540" s="3" t="s">
        <v>58</v>
      </c>
      <c r="AQ540" s="3" t="s">
        <v>115</v>
      </c>
      <c r="AR540" s="6" t="str">
        <f>HYPERLINK("http://catalog.hathitrust.org/Record/000034696","HathiTrust Record")</f>
        <v>HathiTrust Record</v>
      </c>
      <c r="AS540" s="6" t="str">
        <f>HYPERLINK("https://creighton-primo.hosted.exlibrisgroup.com/primo-explore/search?tab=default_tab&amp;search_scope=EVERYTHING&amp;vid=01CRU&amp;lang=en_US&amp;offset=0&amp;query=any,contains,991000961429702656","Catalog Record")</f>
        <v>Catalog Record</v>
      </c>
      <c r="AT540" s="6" t="str">
        <f>HYPERLINK("http://www.worldcat.org/oclc/6169315","WorldCat Record")</f>
        <v>WorldCat Record</v>
      </c>
    </row>
    <row r="541" spans="1:46" ht="40.5" customHeight="1" x14ac:dyDescent="0.25">
      <c r="A541" s="8" t="s">
        <v>58</v>
      </c>
      <c r="B541" s="2" t="s">
        <v>4002</v>
      </c>
      <c r="C541" s="2" t="s">
        <v>4003</v>
      </c>
      <c r="D541" s="2" t="s">
        <v>4004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59</v>
      </c>
      <c r="L541" s="2" t="s">
        <v>4005</v>
      </c>
      <c r="M541" s="3" t="s">
        <v>572</v>
      </c>
      <c r="N541" s="2" t="s">
        <v>4006</v>
      </c>
      <c r="O541" s="3" t="s">
        <v>64</v>
      </c>
      <c r="P541" s="3" t="s">
        <v>2755</v>
      </c>
      <c r="R541" s="3" t="s">
        <v>1346</v>
      </c>
      <c r="S541" s="4">
        <v>1</v>
      </c>
      <c r="T541" s="4">
        <v>1</v>
      </c>
      <c r="U541" s="5" t="s">
        <v>4007</v>
      </c>
      <c r="V541" s="5" t="s">
        <v>4007</v>
      </c>
      <c r="W541" s="5" t="s">
        <v>2574</v>
      </c>
      <c r="X541" s="5" t="s">
        <v>2574</v>
      </c>
      <c r="Y541" s="4">
        <v>112</v>
      </c>
      <c r="Z541" s="4">
        <v>72</v>
      </c>
      <c r="AA541" s="4">
        <v>250</v>
      </c>
      <c r="AB541" s="4">
        <v>1</v>
      </c>
      <c r="AC541" s="4">
        <v>1</v>
      </c>
      <c r="AD541" s="4">
        <v>2</v>
      </c>
      <c r="AE541" s="4">
        <v>6</v>
      </c>
      <c r="AF541" s="4">
        <v>1</v>
      </c>
      <c r="AG541" s="4">
        <v>2</v>
      </c>
      <c r="AH541" s="4">
        <v>0</v>
      </c>
      <c r="AI541" s="4">
        <v>2</v>
      </c>
      <c r="AJ541" s="4">
        <v>1</v>
      </c>
      <c r="AK541" s="4">
        <v>3</v>
      </c>
      <c r="AL541" s="4">
        <v>0</v>
      </c>
      <c r="AM541" s="4">
        <v>0</v>
      </c>
      <c r="AN541" s="4">
        <v>0</v>
      </c>
      <c r="AO541" s="4">
        <v>0</v>
      </c>
      <c r="AP541" s="3" t="s">
        <v>58</v>
      </c>
      <c r="AQ541" s="3" t="s">
        <v>58</v>
      </c>
      <c r="AS541" s="6" t="str">
        <f>HYPERLINK("https://creighton-primo.hosted.exlibrisgroup.com/primo-explore/search?tab=default_tab&amp;search_scope=EVERYTHING&amp;vid=01CRU&amp;lang=en_US&amp;offset=0&amp;query=any,contains,991000369439702656","Catalog Record")</f>
        <v>Catalog Record</v>
      </c>
      <c r="AT541" s="6" t="str">
        <f>HYPERLINK("http://www.worldcat.org/oclc/52086205","WorldCat Record")</f>
        <v>WorldCat Record</v>
      </c>
    </row>
    <row r="542" spans="1:46" ht="40.5" customHeight="1" x14ac:dyDescent="0.25">
      <c r="A542" s="8" t="s">
        <v>58</v>
      </c>
      <c r="B542" s="2" t="s">
        <v>4008</v>
      </c>
      <c r="C542" s="2" t="s">
        <v>4009</v>
      </c>
      <c r="D542" s="2" t="s">
        <v>4010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60</v>
      </c>
      <c r="L542" s="2" t="s">
        <v>4011</v>
      </c>
      <c r="M542" s="3" t="s">
        <v>725</v>
      </c>
      <c r="O542" s="3" t="s">
        <v>64</v>
      </c>
      <c r="P542" s="3" t="s">
        <v>1355</v>
      </c>
      <c r="R542" s="3" t="s">
        <v>1346</v>
      </c>
      <c r="S542" s="4">
        <v>5</v>
      </c>
      <c r="T542" s="4">
        <v>5</v>
      </c>
      <c r="U542" s="5" t="s">
        <v>4001</v>
      </c>
      <c r="V542" s="5" t="s">
        <v>4001</v>
      </c>
      <c r="W542" s="5" t="s">
        <v>3664</v>
      </c>
      <c r="X542" s="5" t="s">
        <v>3664</v>
      </c>
      <c r="Y542" s="4">
        <v>89</v>
      </c>
      <c r="Z542" s="4">
        <v>73</v>
      </c>
      <c r="AA542" s="4">
        <v>75</v>
      </c>
      <c r="AB542" s="4">
        <v>1</v>
      </c>
      <c r="AC542" s="4">
        <v>1</v>
      </c>
      <c r="AD542" s="4">
        <v>1</v>
      </c>
      <c r="AE542" s="4">
        <v>1</v>
      </c>
      <c r="AF542" s="4">
        <v>0</v>
      </c>
      <c r="AG542" s="4">
        <v>0</v>
      </c>
      <c r="AH542" s="4">
        <v>0</v>
      </c>
      <c r="AI542" s="4">
        <v>0</v>
      </c>
      <c r="AJ542" s="4">
        <v>1</v>
      </c>
      <c r="AK542" s="4">
        <v>1</v>
      </c>
      <c r="AL542" s="4">
        <v>0</v>
      </c>
      <c r="AM542" s="4">
        <v>0</v>
      </c>
      <c r="AN542" s="4">
        <v>0</v>
      </c>
      <c r="AO542" s="4">
        <v>0</v>
      </c>
      <c r="AP542" s="3" t="s">
        <v>58</v>
      </c>
      <c r="AQ542" s="3" t="s">
        <v>115</v>
      </c>
      <c r="AR542" s="6" t="str">
        <f>HYPERLINK("http://catalog.hathitrust.org/Record/000112346","HathiTrust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HYPERLINK("https://creighton-primo.hosted.exlibrisgroup.com/primo-explore/search?tab=default_tab&amp;search_scope=EVERYTHING&amp;vid=01CRU&amp;lang=en_US&amp;offset=0&amp;query=any,contains,991000961299702656","Catalog Record")</f>
        <v>Catalog Record</v>
      </c>
      <c r="AT542" s="6" t="str">
        <f>HYPERLINK("http://www.worldcat.org/oclc/9044575","WorldCat Record")</f>
        <v>WorldCat Record</v>
      </c>
    </row>
    <row r="543" spans="1:46" ht="40.5" customHeight="1" x14ac:dyDescent="0.25">
      <c r="A543" s="8" t="s">
        <v>58</v>
      </c>
      <c r="B543" s="2" t="s">
        <v>4012</v>
      </c>
      <c r="C543" s="2" t="s">
        <v>4013</v>
      </c>
      <c r="D543" s="2" t="s">
        <v>4014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60</v>
      </c>
      <c r="L543" s="2" t="s">
        <v>4015</v>
      </c>
      <c r="M543" s="3" t="s">
        <v>1925</v>
      </c>
      <c r="O543" s="3" t="s">
        <v>64</v>
      </c>
      <c r="P543" s="3" t="s">
        <v>65</v>
      </c>
      <c r="Q543" s="2" t="s">
        <v>4016</v>
      </c>
      <c r="R543" s="3" t="s">
        <v>1346</v>
      </c>
      <c r="S543" s="4">
        <v>0</v>
      </c>
      <c r="T543" s="4">
        <v>0</v>
      </c>
      <c r="U543" s="5" t="s">
        <v>3099</v>
      </c>
      <c r="V543" s="5" t="s">
        <v>3099</v>
      </c>
      <c r="W543" s="5" t="s">
        <v>4017</v>
      </c>
      <c r="X543" s="5" t="s">
        <v>4017</v>
      </c>
      <c r="Y543" s="4">
        <v>105</v>
      </c>
      <c r="Z543" s="4">
        <v>71</v>
      </c>
      <c r="AA543" s="4">
        <v>97</v>
      </c>
      <c r="AB543" s="4">
        <v>1</v>
      </c>
      <c r="AC543" s="4">
        <v>1</v>
      </c>
      <c r="AD543" s="4">
        <v>3</v>
      </c>
      <c r="AE543" s="4">
        <v>3</v>
      </c>
      <c r="AF543" s="4">
        <v>1</v>
      </c>
      <c r="AG543" s="4">
        <v>1</v>
      </c>
      <c r="AH543" s="4">
        <v>2</v>
      </c>
      <c r="AI543" s="4">
        <v>2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3" t="s">
        <v>58</v>
      </c>
      <c r="AQ543" s="3" t="s">
        <v>58</v>
      </c>
      <c r="AS543" s="6" t="str">
        <f>HYPERLINK("https://creighton-primo.hosted.exlibrisgroup.com/primo-explore/search?tab=default_tab&amp;search_scope=EVERYTHING&amp;vid=01CRU&amp;lang=en_US&amp;offset=0&amp;query=any,contains,991000302279702656","Catalog Record")</f>
        <v>Catalog Record</v>
      </c>
      <c r="AT543" s="6" t="str">
        <f>HYPERLINK("http://www.worldcat.org/oclc/48004909","WorldCat Record")</f>
        <v>WorldCat Record</v>
      </c>
    </row>
    <row r="544" spans="1:46" ht="40.5" customHeight="1" x14ac:dyDescent="0.25">
      <c r="A544" s="8" t="s">
        <v>58</v>
      </c>
      <c r="B544" s="2" t="s">
        <v>4018</v>
      </c>
      <c r="C544" s="2" t="s">
        <v>4019</v>
      </c>
      <c r="D544" s="2" t="s">
        <v>4020</v>
      </c>
      <c r="F544" s="3" t="s">
        <v>58</v>
      </c>
      <c r="G544" s="3" t="s">
        <v>59</v>
      </c>
      <c r="H544" s="3" t="s">
        <v>58</v>
      </c>
      <c r="I544" s="3" t="s">
        <v>58</v>
      </c>
      <c r="J544" s="3" t="s">
        <v>60</v>
      </c>
      <c r="L544" s="2" t="s">
        <v>4021</v>
      </c>
      <c r="M544" s="3" t="s">
        <v>1702</v>
      </c>
      <c r="N544" s="2" t="s">
        <v>4022</v>
      </c>
      <c r="O544" s="3" t="s">
        <v>64</v>
      </c>
      <c r="P544" s="3" t="s">
        <v>265</v>
      </c>
      <c r="R544" s="3" t="s">
        <v>1346</v>
      </c>
      <c r="S544" s="4">
        <v>9</v>
      </c>
      <c r="T544" s="4">
        <v>9</v>
      </c>
      <c r="U544" s="5" t="s">
        <v>4023</v>
      </c>
      <c r="V544" s="5" t="s">
        <v>4023</v>
      </c>
      <c r="W544" s="5" t="s">
        <v>3664</v>
      </c>
      <c r="X544" s="5" t="s">
        <v>3664</v>
      </c>
      <c r="Y544" s="4">
        <v>33</v>
      </c>
      <c r="Z544" s="4">
        <v>28</v>
      </c>
      <c r="AA544" s="4">
        <v>28</v>
      </c>
      <c r="AB544" s="4">
        <v>1</v>
      </c>
      <c r="AC544" s="4">
        <v>1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3" t="s">
        <v>58</v>
      </c>
      <c r="AQ544" s="3" t="s">
        <v>58</v>
      </c>
      <c r="AS544" s="6" t="str">
        <f>HYPERLINK("https://creighton-primo.hosted.exlibrisgroup.com/primo-explore/search?tab=default_tab&amp;search_scope=EVERYTHING&amp;vid=01CRU&amp;lang=en_US&amp;offset=0&amp;query=any,contains,991000961389702656","Catalog Record")</f>
        <v>Catalog Record</v>
      </c>
      <c r="AT544" s="6" t="str">
        <f>HYPERLINK("http://www.worldcat.org/oclc/5352541","WorldCat Record")</f>
        <v>WorldCat Record</v>
      </c>
    </row>
    <row r="545" spans="1:46" ht="40.5" customHeight="1" x14ac:dyDescent="0.25">
      <c r="A545" s="8" t="s">
        <v>58</v>
      </c>
      <c r="B545" s="2" t="s">
        <v>4024</v>
      </c>
      <c r="C545" s="2" t="s">
        <v>4025</v>
      </c>
      <c r="D545" s="2" t="s">
        <v>4026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60</v>
      </c>
      <c r="K545" s="2" t="s">
        <v>4027</v>
      </c>
      <c r="L545" s="2" t="s">
        <v>4028</v>
      </c>
      <c r="M545" s="3" t="s">
        <v>3940</v>
      </c>
      <c r="O545" s="3" t="s">
        <v>64</v>
      </c>
      <c r="P545" s="3" t="s">
        <v>65</v>
      </c>
      <c r="R545" s="3" t="s">
        <v>1346</v>
      </c>
      <c r="S545" s="4">
        <v>1</v>
      </c>
      <c r="T545" s="4">
        <v>1</v>
      </c>
      <c r="U545" s="5" t="s">
        <v>4029</v>
      </c>
      <c r="V545" s="5" t="s">
        <v>4029</v>
      </c>
      <c r="W545" s="5" t="s">
        <v>3156</v>
      </c>
      <c r="X545" s="5" t="s">
        <v>3156</v>
      </c>
      <c r="Y545" s="4">
        <v>220</v>
      </c>
      <c r="Z545" s="4">
        <v>164</v>
      </c>
      <c r="AA545" s="4">
        <v>168</v>
      </c>
      <c r="AB545" s="4">
        <v>1</v>
      </c>
      <c r="AC545" s="4">
        <v>1</v>
      </c>
      <c r="AD545" s="4">
        <v>5</v>
      </c>
      <c r="AE545" s="4">
        <v>5</v>
      </c>
      <c r="AF545" s="4">
        <v>4</v>
      </c>
      <c r="AG545" s="4">
        <v>4</v>
      </c>
      <c r="AH545" s="4">
        <v>0</v>
      </c>
      <c r="AI545" s="4">
        <v>0</v>
      </c>
      <c r="AJ545" s="4">
        <v>4</v>
      </c>
      <c r="AK545" s="4">
        <v>4</v>
      </c>
      <c r="AL545" s="4">
        <v>0</v>
      </c>
      <c r="AM545" s="4">
        <v>0</v>
      </c>
      <c r="AN545" s="4">
        <v>0</v>
      </c>
      <c r="AO545" s="4">
        <v>0</v>
      </c>
      <c r="AP545" s="3" t="s">
        <v>58</v>
      </c>
      <c r="AQ545" s="3" t="s">
        <v>58</v>
      </c>
      <c r="AR545" s="6" t="str">
        <f>HYPERLINK("http://catalog.hathitrust.org/Record/001572880","HathiTrust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HYPERLINK("https://creighton-primo.hosted.exlibrisgroup.com/primo-explore/search?tab=default_tab&amp;search_scope=EVERYTHING&amp;vid=01CRU&amp;lang=en_US&amp;offset=0&amp;query=any,contains,991000961349702656","Catalog Record")</f>
        <v>Catalog Record</v>
      </c>
      <c r="AT545" s="6" t="str">
        <f>HYPERLINK("http://www.worldcat.org/oclc/642967","WorldCat Record")</f>
        <v>WorldCat Record</v>
      </c>
    </row>
    <row r="546" spans="1:46" ht="40.5" customHeight="1" x14ac:dyDescent="0.25">
      <c r="A546" s="8" t="s">
        <v>58</v>
      </c>
      <c r="B546" s="2" t="s">
        <v>4030</v>
      </c>
      <c r="C546" s="2" t="s">
        <v>4031</v>
      </c>
      <c r="D546" s="2" t="s">
        <v>4032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60</v>
      </c>
      <c r="L546" s="2" t="s">
        <v>4033</v>
      </c>
      <c r="M546" s="3" t="s">
        <v>365</v>
      </c>
      <c r="O546" s="3" t="s">
        <v>64</v>
      </c>
      <c r="P546" s="3" t="s">
        <v>65</v>
      </c>
      <c r="Q546" s="2" t="s">
        <v>4034</v>
      </c>
      <c r="R546" s="3" t="s">
        <v>1346</v>
      </c>
      <c r="S546" s="4">
        <v>1</v>
      </c>
      <c r="T546" s="4">
        <v>1</v>
      </c>
      <c r="U546" s="5" t="s">
        <v>3026</v>
      </c>
      <c r="V546" s="5" t="s">
        <v>3026</v>
      </c>
      <c r="W546" s="5" t="s">
        <v>4035</v>
      </c>
      <c r="X546" s="5" t="s">
        <v>4035</v>
      </c>
      <c r="Y546" s="4">
        <v>40</v>
      </c>
      <c r="Z546" s="4">
        <v>28</v>
      </c>
      <c r="AA546" s="4">
        <v>44</v>
      </c>
      <c r="AB546" s="4">
        <v>1</v>
      </c>
      <c r="AC546" s="4">
        <v>1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3" t="s">
        <v>58</v>
      </c>
      <c r="AQ546" s="3" t="s">
        <v>58</v>
      </c>
      <c r="AS546" s="6" t="str">
        <f>HYPERLINK("https://creighton-primo.hosted.exlibrisgroup.com/primo-explore/search?tab=default_tab&amp;search_scope=EVERYTHING&amp;vid=01CRU&amp;lang=en_US&amp;offset=0&amp;query=any,contains,991000325409702656","Catalog Record")</f>
        <v>Catalog Record</v>
      </c>
      <c r="AT546" s="6" t="str">
        <f>HYPERLINK("http://www.worldcat.org/oclc/36598148","WorldCat Record")</f>
        <v>WorldCat Record</v>
      </c>
    </row>
    <row r="547" spans="1:46" ht="40.5" customHeight="1" x14ac:dyDescent="0.25">
      <c r="A547" s="8" t="s">
        <v>58</v>
      </c>
      <c r="B547" s="2" t="s">
        <v>4036</v>
      </c>
      <c r="C547" s="2" t="s">
        <v>4037</v>
      </c>
      <c r="D547" s="2" t="s">
        <v>4038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60</v>
      </c>
      <c r="K547" s="2" t="s">
        <v>4039</v>
      </c>
      <c r="L547" s="2" t="s">
        <v>4040</v>
      </c>
      <c r="M547" s="3" t="s">
        <v>671</v>
      </c>
      <c r="O547" s="3" t="s">
        <v>64</v>
      </c>
      <c r="P547" s="3" t="s">
        <v>112</v>
      </c>
      <c r="R547" s="3" t="s">
        <v>1346</v>
      </c>
      <c r="S547" s="4">
        <v>5</v>
      </c>
      <c r="T547" s="4">
        <v>5</v>
      </c>
      <c r="U547" s="5" t="s">
        <v>4041</v>
      </c>
      <c r="V547" s="5" t="s">
        <v>4041</v>
      </c>
      <c r="W547" s="5" t="s">
        <v>3664</v>
      </c>
      <c r="X547" s="5" t="s">
        <v>3664</v>
      </c>
      <c r="Y547" s="4">
        <v>465</v>
      </c>
      <c r="Z547" s="4">
        <v>334</v>
      </c>
      <c r="AA547" s="4">
        <v>418</v>
      </c>
      <c r="AB547" s="4">
        <v>4</v>
      </c>
      <c r="AC547" s="4">
        <v>4</v>
      </c>
      <c r="AD547" s="4">
        <v>18</v>
      </c>
      <c r="AE547" s="4">
        <v>19</v>
      </c>
      <c r="AF547" s="4">
        <v>7</v>
      </c>
      <c r="AG547" s="4">
        <v>7</v>
      </c>
      <c r="AH547" s="4">
        <v>4</v>
      </c>
      <c r="AI547" s="4">
        <v>4</v>
      </c>
      <c r="AJ547" s="4">
        <v>6</v>
      </c>
      <c r="AK547" s="4">
        <v>7</v>
      </c>
      <c r="AL547" s="4">
        <v>3</v>
      </c>
      <c r="AM547" s="4">
        <v>3</v>
      </c>
      <c r="AN547" s="4">
        <v>0</v>
      </c>
      <c r="AO547" s="4">
        <v>0</v>
      </c>
      <c r="AP547" s="3" t="s">
        <v>58</v>
      </c>
      <c r="AQ547" s="3" t="s">
        <v>115</v>
      </c>
      <c r="AR547" s="6" t="str">
        <f>HYPERLINK("http://catalog.hathitrust.org/Record/001555728","HathiTrust Record")</f>
        <v>HathiTrust Record</v>
      </c>
      <c r="AS547" s="6" t="str">
        <f>HYPERLINK("https://creighton-primo.hosted.exlibrisgroup.com/primo-explore/search?tab=default_tab&amp;search_scope=EVERYTHING&amp;vid=01CRU&amp;lang=en_US&amp;offset=0&amp;query=any,contains,991000159109702656","Catalog Record")</f>
        <v>Catalog Record</v>
      </c>
      <c r="AT547" s="6" t="str">
        <f>HYPERLINK("http://www.worldcat.org/oclc/654710","WorldCat Record")</f>
        <v>WorldCat Record</v>
      </c>
    </row>
    <row r="548" spans="1:46" ht="40.5" customHeight="1" x14ac:dyDescent="0.25">
      <c r="A548" s="8" t="s">
        <v>58</v>
      </c>
      <c r="B548" s="2" t="s">
        <v>4042</v>
      </c>
      <c r="C548" s="2" t="s">
        <v>4043</v>
      </c>
      <c r="D548" s="2" t="s">
        <v>4044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60</v>
      </c>
      <c r="L548" s="2" t="s">
        <v>4045</v>
      </c>
      <c r="M548" s="3" t="s">
        <v>424</v>
      </c>
      <c r="O548" s="3" t="s">
        <v>64</v>
      </c>
      <c r="P548" s="3" t="s">
        <v>65</v>
      </c>
      <c r="Q548" s="2" t="s">
        <v>4046</v>
      </c>
      <c r="R548" s="3" t="s">
        <v>1346</v>
      </c>
      <c r="S548" s="4">
        <v>10</v>
      </c>
      <c r="T548" s="4">
        <v>10</v>
      </c>
      <c r="U548" s="5" t="s">
        <v>4047</v>
      </c>
      <c r="V548" s="5" t="s">
        <v>4047</v>
      </c>
      <c r="W548" s="5" t="s">
        <v>4048</v>
      </c>
      <c r="X548" s="5" t="s">
        <v>4048</v>
      </c>
      <c r="Y548" s="4">
        <v>106</v>
      </c>
      <c r="Z548" s="4">
        <v>82</v>
      </c>
      <c r="AA548" s="4">
        <v>89</v>
      </c>
      <c r="AB548" s="4">
        <v>1</v>
      </c>
      <c r="AC548" s="4">
        <v>1</v>
      </c>
      <c r="AD548" s="4">
        <v>1</v>
      </c>
      <c r="AE548" s="4">
        <v>1</v>
      </c>
      <c r="AF548" s="4">
        <v>0</v>
      </c>
      <c r="AG548" s="4">
        <v>0</v>
      </c>
      <c r="AH548" s="4">
        <v>1</v>
      </c>
      <c r="AI548" s="4">
        <v>1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3" t="s">
        <v>58</v>
      </c>
      <c r="AQ548" s="3" t="s">
        <v>58</v>
      </c>
      <c r="AS548" s="6" t="str">
        <f>HYPERLINK("https://creighton-primo.hosted.exlibrisgroup.com/primo-explore/search?tab=default_tab&amp;search_scope=EVERYTHING&amp;vid=01CRU&amp;lang=en_US&amp;offset=0&amp;query=any,contains,991001193749702656","Catalog Record")</f>
        <v>Catalog Record</v>
      </c>
      <c r="AT548" s="6" t="str">
        <f>HYPERLINK("http://www.worldcat.org/oclc/29848265","WorldCat Record")</f>
        <v>WorldCat Record</v>
      </c>
    </row>
    <row r="549" spans="1:46" ht="40.5" customHeight="1" x14ac:dyDescent="0.25">
      <c r="A549" s="8" t="s">
        <v>58</v>
      </c>
      <c r="B549" s="2" t="s">
        <v>4049</v>
      </c>
      <c r="C549" s="2" t="s">
        <v>4050</v>
      </c>
      <c r="D549" s="2" t="s">
        <v>4051</v>
      </c>
      <c r="E549" s="3" t="s">
        <v>480</v>
      </c>
      <c r="F549" s="3" t="s">
        <v>115</v>
      </c>
      <c r="G549" s="3" t="s">
        <v>59</v>
      </c>
      <c r="H549" s="3" t="s">
        <v>58</v>
      </c>
      <c r="I549" s="3" t="s">
        <v>58</v>
      </c>
      <c r="J549" s="3" t="s">
        <v>60</v>
      </c>
      <c r="K549" s="2" t="s">
        <v>4052</v>
      </c>
      <c r="L549" s="2" t="s">
        <v>4053</v>
      </c>
      <c r="M549" s="3" t="s">
        <v>4054</v>
      </c>
      <c r="O549" s="3" t="s">
        <v>64</v>
      </c>
      <c r="P549" s="3" t="s">
        <v>65</v>
      </c>
      <c r="R549" s="3" t="s">
        <v>1346</v>
      </c>
      <c r="S549" s="4">
        <v>5</v>
      </c>
      <c r="T549" s="4">
        <v>12</v>
      </c>
      <c r="U549" s="5" t="s">
        <v>4055</v>
      </c>
      <c r="V549" s="5" t="s">
        <v>4055</v>
      </c>
      <c r="W549" s="5" t="s">
        <v>2114</v>
      </c>
      <c r="X549" s="5" t="s">
        <v>2114</v>
      </c>
      <c r="Y549" s="4">
        <v>12</v>
      </c>
      <c r="Z549" s="4">
        <v>7</v>
      </c>
      <c r="AA549" s="4">
        <v>230</v>
      </c>
      <c r="AB549" s="4">
        <v>1</v>
      </c>
      <c r="AC549" s="4">
        <v>2</v>
      </c>
      <c r="AD549" s="4">
        <v>0</v>
      </c>
      <c r="AE549" s="4">
        <v>7</v>
      </c>
      <c r="AF549" s="4">
        <v>0</v>
      </c>
      <c r="AG549" s="4">
        <v>2</v>
      </c>
      <c r="AH549" s="4">
        <v>0</v>
      </c>
      <c r="AI549" s="4">
        <v>1</v>
      </c>
      <c r="AJ549" s="4">
        <v>0</v>
      </c>
      <c r="AK549" s="4">
        <v>4</v>
      </c>
      <c r="AL549" s="4">
        <v>0</v>
      </c>
      <c r="AM549" s="4">
        <v>1</v>
      </c>
      <c r="AN549" s="4">
        <v>0</v>
      </c>
      <c r="AO549" s="4">
        <v>0</v>
      </c>
      <c r="AP549" s="3" t="s">
        <v>58</v>
      </c>
      <c r="AQ549" s="3" t="s">
        <v>58</v>
      </c>
      <c r="AS549" s="6" t="str">
        <f>HYPERLINK("https://creighton-primo.hosted.exlibrisgroup.com/primo-explore/search?tab=default_tab&amp;search_scope=EVERYTHING&amp;vid=01CRU&amp;lang=en_US&amp;offset=0&amp;query=any,contains,991000962019702656","Catalog Record")</f>
        <v>Catalog Record</v>
      </c>
      <c r="AT549" s="6" t="str">
        <f>HYPERLINK("http://www.worldcat.org/oclc/14245971","WorldCat Record")</f>
        <v>WorldCat Record</v>
      </c>
    </row>
    <row r="550" spans="1:46" ht="40.5" customHeight="1" x14ac:dyDescent="0.25">
      <c r="A550" s="8" t="s">
        <v>58</v>
      </c>
      <c r="B550" s="2" t="s">
        <v>4049</v>
      </c>
      <c r="C550" s="2" t="s">
        <v>4050</v>
      </c>
      <c r="D550" s="2" t="s">
        <v>4051</v>
      </c>
      <c r="E550" s="3" t="s">
        <v>492</v>
      </c>
      <c r="F550" s="3" t="s">
        <v>115</v>
      </c>
      <c r="G550" s="3" t="s">
        <v>59</v>
      </c>
      <c r="H550" s="3" t="s">
        <v>58</v>
      </c>
      <c r="I550" s="3" t="s">
        <v>58</v>
      </c>
      <c r="J550" s="3" t="s">
        <v>60</v>
      </c>
      <c r="K550" s="2" t="s">
        <v>4052</v>
      </c>
      <c r="L550" s="2" t="s">
        <v>4053</v>
      </c>
      <c r="M550" s="3" t="s">
        <v>4054</v>
      </c>
      <c r="O550" s="3" t="s">
        <v>64</v>
      </c>
      <c r="P550" s="3" t="s">
        <v>65</v>
      </c>
      <c r="R550" s="3" t="s">
        <v>1346</v>
      </c>
      <c r="S550" s="4">
        <v>7</v>
      </c>
      <c r="T550" s="4">
        <v>12</v>
      </c>
      <c r="U550" s="5" t="s">
        <v>4055</v>
      </c>
      <c r="V550" s="5" t="s">
        <v>4055</v>
      </c>
      <c r="W550" s="5" t="s">
        <v>2114</v>
      </c>
      <c r="X550" s="5" t="s">
        <v>2114</v>
      </c>
      <c r="Y550" s="4">
        <v>12</v>
      </c>
      <c r="Z550" s="4">
        <v>7</v>
      </c>
      <c r="AA550" s="4">
        <v>230</v>
      </c>
      <c r="AB550" s="4">
        <v>1</v>
      </c>
      <c r="AC550" s="4">
        <v>2</v>
      </c>
      <c r="AD550" s="4">
        <v>0</v>
      </c>
      <c r="AE550" s="4">
        <v>7</v>
      </c>
      <c r="AF550" s="4">
        <v>0</v>
      </c>
      <c r="AG550" s="4">
        <v>2</v>
      </c>
      <c r="AH550" s="4">
        <v>0</v>
      </c>
      <c r="AI550" s="4">
        <v>1</v>
      </c>
      <c r="AJ550" s="4">
        <v>0</v>
      </c>
      <c r="AK550" s="4">
        <v>4</v>
      </c>
      <c r="AL550" s="4">
        <v>0</v>
      </c>
      <c r="AM550" s="4">
        <v>1</v>
      </c>
      <c r="AN550" s="4">
        <v>0</v>
      </c>
      <c r="AO550" s="4">
        <v>0</v>
      </c>
      <c r="AP550" s="3" t="s">
        <v>58</v>
      </c>
      <c r="AQ550" s="3" t="s">
        <v>58</v>
      </c>
      <c r="AS550" s="6" t="str">
        <f>HYPERLINK("https://creighton-primo.hosted.exlibrisgroup.com/primo-explore/search?tab=default_tab&amp;search_scope=EVERYTHING&amp;vid=01CRU&amp;lang=en_US&amp;offset=0&amp;query=any,contains,991000962019702656","Catalog Record")</f>
        <v>Catalog Record</v>
      </c>
      <c r="AT550" s="6" t="str">
        <f>HYPERLINK("http://www.worldcat.org/oclc/14245971","WorldCat Record")</f>
        <v>WorldCat Record</v>
      </c>
    </row>
    <row r="551" spans="1:46" ht="40.5" customHeight="1" x14ac:dyDescent="0.25">
      <c r="A551" s="8" t="s">
        <v>58</v>
      </c>
      <c r="B551" s="2" t="s">
        <v>4056</v>
      </c>
      <c r="C551" s="2" t="s">
        <v>4057</v>
      </c>
      <c r="D551" s="2" t="s">
        <v>4058</v>
      </c>
      <c r="F551" s="3" t="s">
        <v>58</v>
      </c>
      <c r="G551" s="3" t="s">
        <v>59</v>
      </c>
      <c r="H551" s="3" t="s">
        <v>58</v>
      </c>
      <c r="I551" s="3" t="s">
        <v>58</v>
      </c>
      <c r="J551" s="3" t="s">
        <v>60</v>
      </c>
      <c r="L551" s="2" t="s">
        <v>4059</v>
      </c>
      <c r="M551" s="3" t="s">
        <v>81</v>
      </c>
      <c r="O551" s="3" t="s">
        <v>64</v>
      </c>
      <c r="P551" s="3" t="s">
        <v>1149</v>
      </c>
      <c r="Q551" s="2" t="s">
        <v>4060</v>
      </c>
      <c r="R551" s="3" t="s">
        <v>1346</v>
      </c>
      <c r="S551" s="4">
        <v>8</v>
      </c>
      <c r="T551" s="4">
        <v>8</v>
      </c>
      <c r="U551" s="5" t="s">
        <v>4061</v>
      </c>
      <c r="V551" s="5" t="s">
        <v>4061</v>
      </c>
      <c r="W551" s="5" t="s">
        <v>3664</v>
      </c>
      <c r="X551" s="5" t="s">
        <v>3664</v>
      </c>
      <c r="Y551" s="4">
        <v>156</v>
      </c>
      <c r="Z551" s="4">
        <v>121</v>
      </c>
      <c r="AA551" s="4">
        <v>133</v>
      </c>
      <c r="AB551" s="4">
        <v>1</v>
      </c>
      <c r="AC551" s="4">
        <v>2</v>
      </c>
      <c r="AD551" s="4">
        <v>5</v>
      </c>
      <c r="AE551" s="4">
        <v>7</v>
      </c>
      <c r="AF551" s="4">
        <v>4</v>
      </c>
      <c r="AG551" s="4">
        <v>4</v>
      </c>
      <c r="AH551" s="4">
        <v>2</v>
      </c>
      <c r="AI551" s="4">
        <v>3</v>
      </c>
      <c r="AJ551" s="4">
        <v>0</v>
      </c>
      <c r="AK551" s="4">
        <v>0</v>
      </c>
      <c r="AL551" s="4">
        <v>0</v>
      </c>
      <c r="AM551" s="4">
        <v>1</v>
      </c>
      <c r="AN551" s="4">
        <v>0</v>
      </c>
      <c r="AO551" s="4">
        <v>0</v>
      </c>
      <c r="AP551" s="3" t="s">
        <v>115</v>
      </c>
      <c r="AQ551" s="3" t="s">
        <v>58</v>
      </c>
      <c r="AR551" s="6" t="str">
        <f>HYPERLINK("http://catalog.hathitrust.org/Record/000279638","HathiTrust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HYPERLINK("https://creighton-primo.hosted.exlibrisgroup.com/primo-explore/search?tab=default_tab&amp;search_scope=EVERYTHING&amp;vid=01CRU&amp;lang=en_US&amp;offset=0&amp;query=any,contains,991000961929702656","Catalog Record")</f>
        <v>Catalog Record</v>
      </c>
      <c r="AT551" s="6" t="str">
        <f>HYPERLINK("http://www.worldcat.org/oclc/7029546","WorldCat Record")</f>
        <v>WorldCat Record</v>
      </c>
    </row>
    <row r="552" spans="1:46" ht="40.5" customHeight="1" x14ac:dyDescent="0.25">
      <c r="A552" s="8" t="s">
        <v>58</v>
      </c>
      <c r="B552" s="2" t="s">
        <v>4062</v>
      </c>
      <c r="C552" s="2" t="s">
        <v>4063</v>
      </c>
      <c r="D552" s="2" t="s">
        <v>4064</v>
      </c>
      <c r="F552" s="3" t="s">
        <v>58</v>
      </c>
      <c r="G552" s="3" t="s">
        <v>59</v>
      </c>
      <c r="H552" s="3" t="s">
        <v>58</v>
      </c>
      <c r="I552" s="3" t="s">
        <v>58</v>
      </c>
      <c r="J552" s="3" t="s">
        <v>60</v>
      </c>
      <c r="K552" s="2" t="s">
        <v>4065</v>
      </c>
      <c r="L552" s="2" t="s">
        <v>4066</v>
      </c>
      <c r="M552" s="3" t="s">
        <v>4067</v>
      </c>
      <c r="O552" s="3" t="s">
        <v>64</v>
      </c>
      <c r="P552" s="3" t="s">
        <v>65</v>
      </c>
      <c r="R552" s="3" t="s">
        <v>1346</v>
      </c>
      <c r="S552" s="4">
        <v>3</v>
      </c>
      <c r="T552" s="4">
        <v>3</v>
      </c>
      <c r="U552" s="5" t="s">
        <v>4068</v>
      </c>
      <c r="V552" s="5" t="s">
        <v>4068</v>
      </c>
      <c r="W552" s="5" t="s">
        <v>3581</v>
      </c>
      <c r="X552" s="5" t="s">
        <v>3581</v>
      </c>
      <c r="Y552" s="4">
        <v>80</v>
      </c>
      <c r="Z552" s="4">
        <v>61</v>
      </c>
      <c r="AA552" s="4">
        <v>70</v>
      </c>
      <c r="AB552" s="4">
        <v>1</v>
      </c>
      <c r="AC552" s="4">
        <v>1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3" t="s">
        <v>115</v>
      </c>
      <c r="AQ552" s="3" t="s">
        <v>58</v>
      </c>
      <c r="AR552" s="6" t="str">
        <f>HYPERLINK("http://catalog.hathitrust.org/Record/002074948","HathiTrust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HYPERLINK("https://creighton-primo.hosted.exlibrisgroup.com/primo-explore/search?tab=default_tab&amp;search_scope=EVERYTHING&amp;vid=01CRU&amp;lang=en_US&amp;offset=0&amp;query=any,contains,991000961969702656","Catalog Record")</f>
        <v>Catalog Record</v>
      </c>
      <c r="AT552" s="6" t="str">
        <f>HYPERLINK("http://www.worldcat.org/oclc/3668648","WorldCat Record")</f>
        <v>WorldCat Record</v>
      </c>
    </row>
    <row r="553" spans="1:46" ht="40.5" customHeight="1" x14ac:dyDescent="0.25">
      <c r="A553" s="8" t="s">
        <v>58</v>
      </c>
      <c r="B553" s="2" t="s">
        <v>4069</v>
      </c>
      <c r="C553" s="2" t="s">
        <v>4070</v>
      </c>
      <c r="D553" s="2" t="s">
        <v>4071</v>
      </c>
      <c r="F553" s="3" t="s">
        <v>58</v>
      </c>
      <c r="G553" s="3" t="s">
        <v>59</v>
      </c>
      <c r="H553" s="3" t="s">
        <v>58</v>
      </c>
      <c r="I553" s="3" t="s">
        <v>58</v>
      </c>
      <c r="J553" s="3" t="s">
        <v>60</v>
      </c>
      <c r="K553" s="2" t="s">
        <v>4072</v>
      </c>
      <c r="L553" s="2" t="s">
        <v>4073</v>
      </c>
      <c r="M553" s="3" t="s">
        <v>725</v>
      </c>
      <c r="O553" s="3" t="s">
        <v>64</v>
      </c>
      <c r="P553" s="3" t="s">
        <v>865</v>
      </c>
      <c r="R553" s="3" t="s">
        <v>1346</v>
      </c>
      <c r="S553" s="4">
        <v>8</v>
      </c>
      <c r="T553" s="4">
        <v>8</v>
      </c>
      <c r="U553" s="5" t="s">
        <v>4074</v>
      </c>
      <c r="V553" s="5" t="s">
        <v>4074</v>
      </c>
      <c r="W553" s="5" t="s">
        <v>3664</v>
      </c>
      <c r="X553" s="5" t="s">
        <v>3664</v>
      </c>
      <c r="Y553" s="4">
        <v>34</v>
      </c>
      <c r="Z553" s="4">
        <v>27</v>
      </c>
      <c r="AA553" s="4">
        <v>29</v>
      </c>
      <c r="AB553" s="4">
        <v>1</v>
      </c>
      <c r="AC553" s="4">
        <v>1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3" t="s">
        <v>58</v>
      </c>
      <c r="AQ553" s="3" t="s">
        <v>115</v>
      </c>
      <c r="AR553" s="6" t="str">
        <f>HYPERLINK("http://catalog.hathitrust.org/Record/001536856","HathiTrust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HYPERLINK("https://creighton-primo.hosted.exlibrisgroup.com/primo-explore/search?tab=default_tab&amp;search_scope=EVERYTHING&amp;vid=01CRU&amp;lang=en_US&amp;offset=0&amp;query=any,contains,991000961889702656","Catalog Record")</f>
        <v>Catalog Record</v>
      </c>
      <c r="AT553" s="6" t="str">
        <f>HYPERLINK("http://www.worldcat.org/oclc/9517423","WorldCat Record")</f>
        <v>WorldCat Record</v>
      </c>
    </row>
    <row r="554" spans="1:46" ht="40.5" customHeight="1" x14ac:dyDescent="0.25">
      <c r="A554" s="8" t="s">
        <v>58</v>
      </c>
      <c r="B554" s="2" t="s">
        <v>4075</v>
      </c>
      <c r="C554" s="2" t="s">
        <v>4076</v>
      </c>
      <c r="D554" s="2" t="s">
        <v>4077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60</v>
      </c>
      <c r="K554" s="2" t="s">
        <v>4078</v>
      </c>
      <c r="L554" s="2" t="s">
        <v>4079</v>
      </c>
      <c r="M554" s="3" t="s">
        <v>4080</v>
      </c>
      <c r="O554" s="3" t="s">
        <v>64</v>
      </c>
      <c r="P554" s="3" t="s">
        <v>65</v>
      </c>
      <c r="R554" s="3" t="s">
        <v>1346</v>
      </c>
      <c r="S554" s="4">
        <v>1</v>
      </c>
      <c r="T554" s="4">
        <v>1</v>
      </c>
      <c r="U554" s="5" t="s">
        <v>1640</v>
      </c>
      <c r="V554" s="5" t="s">
        <v>1640</v>
      </c>
      <c r="W554" s="5" t="s">
        <v>3581</v>
      </c>
      <c r="X554" s="5" t="s">
        <v>3581</v>
      </c>
      <c r="Y554" s="4">
        <v>256</v>
      </c>
      <c r="Z554" s="4">
        <v>217</v>
      </c>
      <c r="AA554" s="4">
        <v>224</v>
      </c>
      <c r="AB554" s="4">
        <v>1</v>
      </c>
      <c r="AC554" s="4">
        <v>1</v>
      </c>
      <c r="AD554" s="4">
        <v>6</v>
      </c>
      <c r="AE554" s="4">
        <v>6</v>
      </c>
      <c r="AF554" s="4">
        <v>5</v>
      </c>
      <c r="AG554" s="4">
        <v>5</v>
      </c>
      <c r="AH554" s="4">
        <v>0</v>
      </c>
      <c r="AI554" s="4">
        <v>0</v>
      </c>
      <c r="AJ554" s="4">
        <v>3</v>
      </c>
      <c r="AK554" s="4">
        <v>3</v>
      </c>
      <c r="AL554" s="4">
        <v>0</v>
      </c>
      <c r="AM554" s="4">
        <v>0</v>
      </c>
      <c r="AN554" s="4">
        <v>0</v>
      </c>
      <c r="AO554" s="4">
        <v>0</v>
      </c>
      <c r="AP554" s="3" t="s">
        <v>115</v>
      </c>
      <c r="AQ554" s="3" t="s">
        <v>58</v>
      </c>
      <c r="AR554" s="6" t="str">
        <f>HYPERLINK("http://catalog.hathitrust.org/Record/001572900","HathiTrust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HYPERLINK("https://creighton-primo.hosted.exlibrisgroup.com/primo-explore/search?tab=default_tab&amp;search_scope=EVERYTHING&amp;vid=01CRU&amp;lang=en_US&amp;offset=0&amp;query=any,contains,991000961839702656","Catalog Record")</f>
        <v>Catalog Record</v>
      </c>
      <c r="AT554" s="6" t="str">
        <f>HYPERLINK("http://www.worldcat.org/oclc/654951","WorldCat Record")</f>
        <v>WorldCat Record</v>
      </c>
    </row>
    <row r="555" spans="1:46" ht="40.5" customHeight="1" x14ac:dyDescent="0.25">
      <c r="A555" s="8" t="s">
        <v>58</v>
      </c>
      <c r="B555" s="2" t="s">
        <v>4081</v>
      </c>
      <c r="C555" s="2" t="s">
        <v>4082</v>
      </c>
      <c r="D555" s="2" t="s">
        <v>4083</v>
      </c>
      <c r="F555" s="3" t="s">
        <v>58</v>
      </c>
      <c r="G555" s="3" t="s">
        <v>59</v>
      </c>
      <c r="H555" s="3" t="s">
        <v>58</v>
      </c>
      <c r="I555" s="3" t="s">
        <v>58</v>
      </c>
      <c r="J555" s="3" t="s">
        <v>60</v>
      </c>
      <c r="K555" s="2" t="s">
        <v>4084</v>
      </c>
      <c r="L555" s="2" t="s">
        <v>4085</v>
      </c>
      <c r="M555" s="3" t="s">
        <v>725</v>
      </c>
      <c r="O555" s="3" t="s">
        <v>64</v>
      </c>
      <c r="P555" s="3" t="s">
        <v>1355</v>
      </c>
      <c r="R555" s="3" t="s">
        <v>1346</v>
      </c>
      <c r="S555" s="4">
        <v>8</v>
      </c>
      <c r="T555" s="4">
        <v>8</v>
      </c>
      <c r="U555" s="5" t="s">
        <v>3989</v>
      </c>
      <c r="V555" s="5" t="s">
        <v>3989</v>
      </c>
      <c r="W555" s="5" t="s">
        <v>3664</v>
      </c>
      <c r="X555" s="5" t="s">
        <v>3664</v>
      </c>
      <c r="Y555" s="4">
        <v>52</v>
      </c>
      <c r="Z555" s="4">
        <v>40</v>
      </c>
      <c r="AA555" s="4">
        <v>40</v>
      </c>
      <c r="AB555" s="4">
        <v>1</v>
      </c>
      <c r="AC555" s="4">
        <v>1</v>
      </c>
      <c r="AD555" s="4">
        <v>1</v>
      </c>
      <c r="AE555" s="4">
        <v>1</v>
      </c>
      <c r="AF555" s="4">
        <v>1</v>
      </c>
      <c r="AG555" s="4">
        <v>1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0</v>
      </c>
      <c r="AP555" s="3" t="s">
        <v>58</v>
      </c>
      <c r="AQ555" s="3" t="s">
        <v>58</v>
      </c>
      <c r="AS555" s="6" t="str">
        <f>HYPERLINK("https://creighton-primo.hosted.exlibrisgroup.com/primo-explore/search?tab=default_tab&amp;search_scope=EVERYTHING&amp;vid=01CRU&amp;lang=en_US&amp;offset=0&amp;query=any,contains,991000961789702656","Catalog Record")</f>
        <v>Catalog Record</v>
      </c>
      <c r="AT555" s="6" t="str">
        <f>HYPERLINK("http://www.worldcat.org/oclc/7671677","WorldCat Record")</f>
        <v>WorldCat Record</v>
      </c>
    </row>
    <row r="556" spans="1:46" ht="40.5" customHeight="1" x14ac:dyDescent="0.25">
      <c r="A556" s="8" t="s">
        <v>58</v>
      </c>
      <c r="B556" s="2" t="s">
        <v>4086</v>
      </c>
      <c r="C556" s="2" t="s">
        <v>4087</v>
      </c>
      <c r="D556" s="2" t="s">
        <v>4088</v>
      </c>
      <c r="F556" s="3" t="s">
        <v>58</v>
      </c>
      <c r="G556" s="3" t="s">
        <v>59</v>
      </c>
      <c r="H556" s="3" t="s">
        <v>58</v>
      </c>
      <c r="I556" s="3" t="s">
        <v>58</v>
      </c>
      <c r="J556" s="3" t="s">
        <v>60</v>
      </c>
      <c r="K556" s="2" t="s">
        <v>4089</v>
      </c>
      <c r="L556" s="2" t="s">
        <v>4090</v>
      </c>
      <c r="M556" s="3" t="s">
        <v>142</v>
      </c>
      <c r="N556" s="2" t="s">
        <v>4091</v>
      </c>
      <c r="O556" s="3" t="s">
        <v>64</v>
      </c>
      <c r="P556" s="3" t="s">
        <v>144</v>
      </c>
      <c r="R556" s="3" t="s">
        <v>1346</v>
      </c>
      <c r="S556" s="4">
        <v>7</v>
      </c>
      <c r="T556" s="4">
        <v>7</v>
      </c>
      <c r="U556" s="5" t="s">
        <v>1733</v>
      </c>
      <c r="V556" s="5" t="s">
        <v>1733</v>
      </c>
      <c r="W556" s="5" t="s">
        <v>4092</v>
      </c>
      <c r="X556" s="5" t="s">
        <v>4092</v>
      </c>
      <c r="Y556" s="4">
        <v>12</v>
      </c>
      <c r="Z556" s="4">
        <v>11</v>
      </c>
      <c r="AA556" s="4">
        <v>593</v>
      </c>
      <c r="AB556" s="4">
        <v>1</v>
      </c>
      <c r="AC556" s="4">
        <v>5</v>
      </c>
      <c r="AD556" s="4">
        <v>0</v>
      </c>
      <c r="AE556" s="4">
        <v>11</v>
      </c>
      <c r="AF556" s="4">
        <v>0</v>
      </c>
      <c r="AG556" s="4">
        <v>3</v>
      </c>
      <c r="AH556" s="4">
        <v>0</v>
      </c>
      <c r="AI556" s="4">
        <v>3</v>
      </c>
      <c r="AJ556" s="4">
        <v>0</v>
      </c>
      <c r="AK556" s="4">
        <v>3</v>
      </c>
      <c r="AL556" s="4">
        <v>0</v>
      </c>
      <c r="AM556" s="4">
        <v>4</v>
      </c>
      <c r="AN556" s="4">
        <v>0</v>
      </c>
      <c r="AO556" s="4">
        <v>0</v>
      </c>
      <c r="AP556" s="3" t="s">
        <v>58</v>
      </c>
      <c r="AQ556" s="3" t="s">
        <v>58</v>
      </c>
      <c r="AS556" s="6" t="str">
        <f>HYPERLINK("https://creighton-primo.hosted.exlibrisgroup.com/primo-explore/search?tab=default_tab&amp;search_scope=EVERYTHING&amp;vid=01CRU&amp;lang=en_US&amp;offset=0&amp;query=any,contains,991000943469702656","Catalog Record")</f>
        <v>Catalog Record</v>
      </c>
      <c r="AT556" s="6" t="str">
        <f>HYPERLINK("http://www.worldcat.org/oclc/23942893","WorldCat Record")</f>
        <v>WorldCat Record</v>
      </c>
    </row>
    <row r="557" spans="1:46" ht="40.5" customHeight="1" x14ac:dyDescent="0.25">
      <c r="A557" s="8" t="s">
        <v>58</v>
      </c>
      <c r="B557" s="2" t="s">
        <v>4093</v>
      </c>
      <c r="C557" s="2" t="s">
        <v>4094</v>
      </c>
      <c r="D557" s="2" t="s">
        <v>4095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60</v>
      </c>
      <c r="L557" s="2" t="s">
        <v>4096</v>
      </c>
      <c r="M557" s="3" t="s">
        <v>1511</v>
      </c>
      <c r="O557" s="3" t="s">
        <v>64</v>
      </c>
      <c r="P557" s="3" t="s">
        <v>585</v>
      </c>
      <c r="Q557" s="2" t="s">
        <v>4097</v>
      </c>
      <c r="R557" s="3" t="s">
        <v>1346</v>
      </c>
      <c r="S557" s="4">
        <v>22</v>
      </c>
      <c r="T557" s="4">
        <v>22</v>
      </c>
      <c r="U557" s="5" t="s">
        <v>3703</v>
      </c>
      <c r="V557" s="5" t="s">
        <v>3703</v>
      </c>
      <c r="W557" s="5" t="s">
        <v>4098</v>
      </c>
      <c r="X557" s="5" t="s">
        <v>4098</v>
      </c>
      <c r="Y557" s="4">
        <v>180</v>
      </c>
      <c r="Z557" s="4">
        <v>103</v>
      </c>
      <c r="AA557" s="4">
        <v>129</v>
      </c>
      <c r="AB557" s="4">
        <v>1</v>
      </c>
      <c r="AC557" s="4">
        <v>1</v>
      </c>
      <c r="AD557" s="4">
        <v>2</v>
      </c>
      <c r="AE557" s="4">
        <v>3</v>
      </c>
      <c r="AF557" s="4">
        <v>0</v>
      </c>
      <c r="AG557" s="4">
        <v>1</v>
      </c>
      <c r="AH557" s="4">
        <v>2</v>
      </c>
      <c r="AI557" s="4">
        <v>2</v>
      </c>
      <c r="AJ557" s="4">
        <v>0</v>
      </c>
      <c r="AK557" s="4">
        <v>1</v>
      </c>
      <c r="AL557" s="4">
        <v>0</v>
      </c>
      <c r="AM557" s="4">
        <v>0</v>
      </c>
      <c r="AN557" s="4">
        <v>0</v>
      </c>
      <c r="AO557" s="4">
        <v>0</v>
      </c>
      <c r="AP557" s="3" t="s">
        <v>58</v>
      </c>
      <c r="AQ557" s="3" t="s">
        <v>115</v>
      </c>
      <c r="AR557" s="6" t="str">
        <f>HYPERLINK("http://catalog.hathitrust.org/Record/001295147","HathiTrust Record")</f>
        <v>HathiTrust Record</v>
      </c>
      <c r="AS557" s="6" t="str">
        <f>HYPERLINK("https://creighton-primo.hosted.exlibrisgroup.com/primo-explore/search?tab=default_tab&amp;search_scope=EVERYTHING&amp;vid=01CRU&amp;lang=en_US&amp;offset=0&amp;query=any,contains,991001354739702656","Catalog Record")</f>
        <v>Catalog Record</v>
      </c>
      <c r="AT557" s="6" t="str">
        <f>HYPERLINK("http://www.worldcat.org/oclc/19130217","WorldCat Record")</f>
        <v>WorldCat Record</v>
      </c>
    </row>
    <row r="558" spans="1:46" ht="40.5" customHeight="1" x14ac:dyDescent="0.25">
      <c r="A558" s="8" t="s">
        <v>58</v>
      </c>
      <c r="B558" s="2" t="s">
        <v>4099</v>
      </c>
      <c r="C558" s="2" t="s">
        <v>4100</v>
      </c>
      <c r="D558" s="2" t="s">
        <v>4101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60</v>
      </c>
      <c r="K558" s="2" t="s">
        <v>4102</v>
      </c>
      <c r="L558" s="2" t="s">
        <v>4103</v>
      </c>
      <c r="M558" s="3" t="s">
        <v>336</v>
      </c>
      <c r="O558" s="3" t="s">
        <v>64</v>
      </c>
      <c r="P558" s="3" t="s">
        <v>1355</v>
      </c>
      <c r="R558" s="3" t="s">
        <v>1346</v>
      </c>
      <c r="S558" s="4">
        <v>4</v>
      </c>
      <c r="T558" s="4">
        <v>4</v>
      </c>
      <c r="U558" s="5" t="s">
        <v>4029</v>
      </c>
      <c r="V558" s="5" t="s">
        <v>4029</v>
      </c>
      <c r="W558" s="5" t="s">
        <v>3664</v>
      </c>
      <c r="X558" s="5" t="s">
        <v>3664</v>
      </c>
      <c r="Y558" s="4">
        <v>47</v>
      </c>
      <c r="Z558" s="4">
        <v>40</v>
      </c>
      <c r="AA558" s="4">
        <v>40</v>
      </c>
      <c r="AB558" s="4">
        <v>1</v>
      </c>
      <c r="AC558" s="4">
        <v>1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3" t="s">
        <v>58</v>
      </c>
      <c r="AQ558" s="3" t="s">
        <v>58</v>
      </c>
      <c r="AS558" s="6" t="str">
        <f>HYPERLINK("https://creighton-primo.hosted.exlibrisgroup.com/primo-explore/search?tab=default_tab&amp;search_scope=EVERYTHING&amp;vid=01CRU&amp;lang=en_US&amp;offset=0&amp;query=any,contains,991000961749702656","Catalog Record")</f>
        <v>Catalog Record</v>
      </c>
      <c r="AT558" s="6" t="str">
        <f>HYPERLINK("http://www.worldcat.org/oclc/7463205","WorldCat Record")</f>
        <v>WorldCat Record</v>
      </c>
    </row>
    <row r="559" spans="1:46" ht="40.5" customHeight="1" x14ac:dyDescent="0.25">
      <c r="A559" s="8" t="s">
        <v>58</v>
      </c>
      <c r="B559" s="2" t="s">
        <v>4104</v>
      </c>
      <c r="C559" s="2" t="s">
        <v>4105</v>
      </c>
      <c r="D559" s="2" t="s">
        <v>4106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60</v>
      </c>
      <c r="K559" s="2" t="s">
        <v>4107</v>
      </c>
      <c r="L559" s="2" t="s">
        <v>4108</v>
      </c>
      <c r="M559" s="3" t="s">
        <v>4109</v>
      </c>
      <c r="N559" s="2" t="s">
        <v>1344</v>
      </c>
      <c r="O559" s="3" t="s">
        <v>64</v>
      </c>
      <c r="P559" s="3" t="s">
        <v>144</v>
      </c>
      <c r="R559" s="3" t="s">
        <v>1346</v>
      </c>
      <c r="S559" s="4">
        <v>7</v>
      </c>
      <c r="T559" s="4">
        <v>7</v>
      </c>
      <c r="U559" s="5" t="s">
        <v>4023</v>
      </c>
      <c r="V559" s="5" t="s">
        <v>4023</v>
      </c>
      <c r="W559" s="5" t="s">
        <v>3664</v>
      </c>
      <c r="X559" s="5" t="s">
        <v>3664</v>
      </c>
      <c r="Y559" s="4">
        <v>103</v>
      </c>
      <c r="Z559" s="4">
        <v>84</v>
      </c>
      <c r="AA559" s="4">
        <v>142</v>
      </c>
      <c r="AB559" s="4">
        <v>1</v>
      </c>
      <c r="AC559" s="4">
        <v>2</v>
      </c>
      <c r="AD559" s="4">
        <v>3</v>
      </c>
      <c r="AE559" s="4">
        <v>5</v>
      </c>
      <c r="AF559" s="4">
        <v>1</v>
      </c>
      <c r="AG559" s="4">
        <v>1</v>
      </c>
      <c r="AH559" s="4">
        <v>1</v>
      </c>
      <c r="AI559" s="4">
        <v>1</v>
      </c>
      <c r="AJ559" s="4">
        <v>1</v>
      </c>
      <c r="AK559" s="4">
        <v>2</v>
      </c>
      <c r="AL559" s="4">
        <v>0</v>
      </c>
      <c r="AM559" s="4">
        <v>1</v>
      </c>
      <c r="AN559" s="4">
        <v>0</v>
      </c>
      <c r="AO559" s="4">
        <v>0</v>
      </c>
      <c r="AP559" s="3" t="s">
        <v>58</v>
      </c>
      <c r="AQ559" s="3" t="s">
        <v>115</v>
      </c>
      <c r="AR559" s="6" t="str">
        <f>HYPERLINK("http://catalog.hathitrust.org/Record/001572903","HathiTrust Record")</f>
        <v>HathiTrust Record</v>
      </c>
      <c r="AS559" s="6" t="str">
        <f>HYPERLINK("https://creighton-primo.hosted.exlibrisgroup.com/primo-explore/search?tab=default_tab&amp;search_scope=EVERYTHING&amp;vid=01CRU&amp;lang=en_US&amp;offset=0&amp;query=any,contains,991000961709702656","Catalog Record")</f>
        <v>Catalog Record</v>
      </c>
      <c r="AT559" s="6" t="str">
        <f>HYPERLINK("http://www.worldcat.org/oclc/1558942","WorldCat Record")</f>
        <v>WorldCat Record</v>
      </c>
    </row>
    <row r="560" spans="1:46" ht="40.5" customHeight="1" x14ac:dyDescent="0.25">
      <c r="A560" s="8" t="s">
        <v>58</v>
      </c>
      <c r="B560" s="2" t="s">
        <v>4110</v>
      </c>
      <c r="C560" s="2" t="s">
        <v>4111</v>
      </c>
      <c r="D560" s="2" t="s">
        <v>4112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60</v>
      </c>
      <c r="L560" s="2" t="s">
        <v>4113</v>
      </c>
      <c r="M560" s="3" t="s">
        <v>892</v>
      </c>
      <c r="O560" s="3" t="s">
        <v>64</v>
      </c>
      <c r="P560" s="3" t="s">
        <v>291</v>
      </c>
      <c r="R560" s="3" t="s">
        <v>1346</v>
      </c>
      <c r="S560" s="4">
        <v>2</v>
      </c>
      <c r="T560" s="4">
        <v>2</v>
      </c>
      <c r="U560" s="5" t="s">
        <v>4114</v>
      </c>
      <c r="V560" s="5" t="s">
        <v>4114</v>
      </c>
      <c r="W560" s="5" t="s">
        <v>4114</v>
      </c>
      <c r="X560" s="5" t="s">
        <v>4114</v>
      </c>
      <c r="Y560" s="4">
        <v>65</v>
      </c>
      <c r="Z560" s="4">
        <v>53</v>
      </c>
      <c r="AA560" s="4">
        <v>55</v>
      </c>
      <c r="AB560" s="4">
        <v>1</v>
      </c>
      <c r="AC560" s="4">
        <v>1</v>
      </c>
      <c r="AD560" s="4">
        <v>1</v>
      </c>
      <c r="AE560" s="4">
        <v>1</v>
      </c>
      <c r="AF560" s="4">
        <v>0</v>
      </c>
      <c r="AG560" s="4">
        <v>0</v>
      </c>
      <c r="AH560" s="4">
        <v>1</v>
      </c>
      <c r="AI560" s="4">
        <v>1</v>
      </c>
      <c r="AJ560" s="4">
        <v>1</v>
      </c>
      <c r="AK560" s="4">
        <v>1</v>
      </c>
      <c r="AL560" s="4">
        <v>0</v>
      </c>
      <c r="AM560" s="4">
        <v>0</v>
      </c>
      <c r="AN560" s="4">
        <v>0</v>
      </c>
      <c r="AO560" s="4">
        <v>0</v>
      </c>
      <c r="AP560" s="3" t="s">
        <v>58</v>
      </c>
      <c r="AQ560" s="3" t="s">
        <v>115</v>
      </c>
      <c r="AR560" s="6" t="str">
        <f>HYPERLINK("http://catalog.hathitrust.org/Record/004029988","HathiTrust Record")</f>
        <v>HathiTrust Record</v>
      </c>
      <c r="AS560" s="6" t="str">
        <f>HYPERLINK("https://creighton-primo.hosted.exlibrisgroup.com/primo-explore/search?tab=default_tab&amp;search_scope=EVERYTHING&amp;vid=01CRU&amp;lang=en_US&amp;offset=0&amp;query=any,contains,991001550029702656","Catalog Record")</f>
        <v>Catalog Record</v>
      </c>
      <c r="AT560" s="6" t="str">
        <f>HYPERLINK("http://www.worldcat.org/oclc/44267945","WorldCat Record")</f>
        <v>WorldCat Record</v>
      </c>
    </row>
    <row r="561" spans="1:46" ht="40.5" customHeight="1" x14ac:dyDescent="0.25">
      <c r="A561" s="8" t="s">
        <v>58</v>
      </c>
      <c r="B561" s="2" t="s">
        <v>4115</v>
      </c>
      <c r="C561" s="2" t="s">
        <v>4116</v>
      </c>
      <c r="D561" s="2" t="s">
        <v>4117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60</v>
      </c>
      <c r="K561" s="2" t="s">
        <v>4118</v>
      </c>
      <c r="L561" s="2" t="s">
        <v>4119</v>
      </c>
      <c r="M561" s="3" t="s">
        <v>1392</v>
      </c>
      <c r="O561" s="3" t="s">
        <v>64</v>
      </c>
      <c r="P561" s="3" t="s">
        <v>3009</v>
      </c>
      <c r="R561" s="3" t="s">
        <v>1346</v>
      </c>
      <c r="S561" s="4">
        <v>4</v>
      </c>
      <c r="T561" s="4">
        <v>4</v>
      </c>
      <c r="U561" s="5" t="s">
        <v>4120</v>
      </c>
      <c r="V561" s="5" t="s">
        <v>4120</v>
      </c>
      <c r="W561" s="5" t="s">
        <v>3664</v>
      </c>
      <c r="X561" s="5" t="s">
        <v>3664</v>
      </c>
      <c r="Y561" s="4">
        <v>1</v>
      </c>
      <c r="Z561" s="4">
        <v>1</v>
      </c>
      <c r="AA561" s="4">
        <v>1</v>
      </c>
      <c r="AB561" s="4">
        <v>1</v>
      </c>
      <c r="AC561" s="4">
        <v>1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3" t="s">
        <v>58</v>
      </c>
      <c r="AQ561" s="3" t="s">
        <v>58</v>
      </c>
      <c r="AS561" s="6" t="str">
        <f>HYPERLINK("https://creighton-primo.hosted.exlibrisgroup.com/primo-explore/search?tab=default_tab&amp;search_scope=EVERYTHING&amp;vid=01CRU&amp;lang=en_US&amp;offset=0&amp;query=any,contains,991001276909702656","Catalog Record")</f>
        <v>Catalog Record</v>
      </c>
      <c r="AT561" s="6" t="str">
        <f>HYPERLINK("http://www.worldcat.org/oclc/16416478","WorldCat Record")</f>
        <v>WorldCat Record</v>
      </c>
    </row>
    <row r="562" spans="1:46" ht="40.5" customHeight="1" x14ac:dyDescent="0.25">
      <c r="A562" s="8" t="s">
        <v>58</v>
      </c>
      <c r="B562" s="2" t="s">
        <v>4121</v>
      </c>
      <c r="C562" s="2" t="s">
        <v>4122</v>
      </c>
      <c r="D562" s="2" t="s">
        <v>4123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60</v>
      </c>
      <c r="K562" s="2" t="s">
        <v>4124</v>
      </c>
      <c r="L562" s="2" t="s">
        <v>4125</v>
      </c>
      <c r="M562" s="3" t="s">
        <v>1392</v>
      </c>
      <c r="O562" s="3" t="s">
        <v>64</v>
      </c>
      <c r="P562" s="3" t="s">
        <v>112</v>
      </c>
      <c r="Q562" s="2" t="s">
        <v>4126</v>
      </c>
      <c r="R562" s="3" t="s">
        <v>1346</v>
      </c>
      <c r="S562" s="4">
        <v>5</v>
      </c>
      <c r="T562" s="4">
        <v>5</v>
      </c>
      <c r="U562" s="5" t="s">
        <v>1496</v>
      </c>
      <c r="V562" s="5" t="s">
        <v>1496</v>
      </c>
      <c r="W562" s="5" t="s">
        <v>3664</v>
      </c>
      <c r="X562" s="5" t="s">
        <v>3664</v>
      </c>
      <c r="Y562" s="4">
        <v>87</v>
      </c>
      <c r="Z562" s="4">
        <v>58</v>
      </c>
      <c r="AA562" s="4">
        <v>60</v>
      </c>
      <c r="AB562" s="4">
        <v>1</v>
      </c>
      <c r="AC562" s="4">
        <v>1</v>
      </c>
      <c r="AD562" s="4">
        <v>2</v>
      </c>
      <c r="AE562" s="4">
        <v>2</v>
      </c>
      <c r="AF562" s="4">
        <v>1</v>
      </c>
      <c r="AG562" s="4">
        <v>1</v>
      </c>
      <c r="AH562" s="4">
        <v>1</v>
      </c>
      <c r="AI562" s="4">
        <v>1</v>
      </c>
      <c r="AJ562" s="4">
        <v>1</v>
      </c>
      <c r="AK562" s="4">
        <v>1</v>
      </c>
      <c r="AL562" s="4">
        <v>0</v>
      </c>
      <c r="AM562" s="4">
        <v>0</v>
      </c>
      <c r="AN562" s="4">
        <v>0</v>
      </c>
      <c r="AO562" s="4">
        <v>0</v>
      </c>
      <c r="AP562" s="3" t="s">
        <v>58</v>
      </c>
      <c r="AQ562" s="3" t="s">
        <v>115</v>
      </c>
      <c r="AR562" s="6" t="str">
        <f>HYPERLINK("http://catalog.hathitrust.org/Record/000461913","HathiTrust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HYPERLINK("https://creighton-primo.hosted.exlibrisgroup.com/primo-explore/search?tab=default_tab&amp;search_scope=EVERYTHING&amp;vid=01CRU&amp;lang=en_US&amp;offset=0&amp;query=any,contains,991000962509702656","Catalog Record")</f>
        <v>Catalog Record</v>
      </c>
      <c r="AT562" s="6" t="str">
        <f>HYPERLINK("http://www.worldcat.org/oclc/10174746","WorldCat Record")</f>
        <v>WorldCat Record</v>
      </c>
    </row>
    <row r="563" spans="1:46" ht="40.5" customHeight="1" x14ac:dyDescent="0.25">
      <c r="A563" s="8" t="s">
        <v>58</v>
      </c>
      <c r="B563" s="2" t="s">
        <v>4127</v>
      </c>
      <c r="C563" s="2" t="s">
        <v>4128</v>
      </c>
      <c r="D563" s="2" t="s">
        <v>4129</v>
      </c>
      <c r="F563" s="3" t="s">
        <v>58</v>
      </c>
      <c r="G563" s="3" t="s">
        <v>59</v>
      </c>
      <c r="H563" s="3" t="s">
        <v>58</v>
      </c>
      <c r="I563" s="3" t="s">
        <v>58</v>
      </c>
      <c r="J563" s="3" t="s">
        <v>60</v>
      </c>
      <c r="K563" s="2" t="s">
        <v>4130</v>
      </c>
      <c r="L563" s="2" t="s">
        <v>4131</v>
      </c>
      <c r="M563" s="3" t="s">
        <v>2027</v>
      </c>
      <c r="O563" s="3" t="s">
        <v>64</v>
      </c>
      <c r="P563" s="3" t="s">
        <v>755</v>
      </c>
      <c r="R563" s="3" t="s">
        <v>1346</v>
      </c>
      <c r="S563" s="4">
        <v>1</v>
      </c>
      <c r="T563" s="4">
        <v>1</v>
      </c>
      <c r="U563" s="5" t="s">
        <v>4132</v>
      </c>
      <c r="V563" s="5" t="s">
        <v>4132</v>
      </c>
      <c r="W563" s="5" t="s">
        <v>3704</v>
      </c>
      <c r="X563" s="5" t="s">
        <v>3704</v>
      </c>
      <c r="Y563" s="4">
        <v>78</v>
      </c>
      <c r="Z563" s="4">
        <v>71</v>
      </c>
      <c r="AA563" s="4">
        <v>105</v>
      </c>
      <c r="AB563" s="4">
        <v>2</v>
      </c>
      <c r="AC563" s="4">
        <v>2</v>
      </c>
      <c r="AD563" s="4">
        <v>1</v>
      </c>
      <c r="AE563" s="4">
        <v>3</v>
      </c>
      <c r="AF563" s="4">
        <v>0</v>
      </c>
      <c r="AG563" s="4">
        <v>0</v>
      </c>
      <c r="AH563" s="4">
        <v>0</v>
      </c>
      <c r="AI563" s="4">
        <v>1</v>
      </c>
      <c r="AJ563" s="4">
        <v>0</v>
      </c>
      <c r="AK563" s="4">
        <v>1</v>
      </c>
      <c r="AL563" s="4">
        <v>1</v>
      </c>
      <c r="AM563" s="4">
        <v>1</v>
      </c>
      <c r="AN563" s="4">
        <v>0</v>
      </c>
      <c r="AO563" s="4">
        <v>0</v>
      </c>
      <c r="AP563" s="3" t="s">
        <v>115</v>
      </c>
      <c r="AQ563" s="3" t="s">
        <v>58</v>
      </c>
      <c r="AR563" s="6" t="str">
        <f>HYPERLINK("http://catalog.hathitrust.org/Record/001572908","HathiTrust Record")</f>
        <v>HathiTrust Record</v>
      </c>
      <c r="AS563" s="6" t="str">
        <f>HYPERLINK("https://creighton-primo.hosted.exlibrisgroup.com/primo-explore/search?tab=default_tab&amp;search_scope=EVERYTHING&amp;vid=01CRU&amp;lang=en_US&amp;offset=0&amp;query=any,contains,991000962449702656","Catalog Record")</f>
        <v>Catalog Record</v>
      </c>
      <c r="AT563" s="6" t="str">
        <f>HYPERLINK("http://www.worldcat.org/oclc/3199443","WorldCat Record")</f>
        <v>WorldCat Record</v>
      </c>
    </row>
    <row r="564" spans="1:46" ht="40.5" customHeight="1" x14ac:dyDescent="0.25">
      <c r="A564" s="8" t="s">
        <v>58</v>
      </c>
      <c r="B564" s="2" t="s">
        <v>4133</v>
      </c>
      <c r="C564" s="2" t="s">
        <v>4134</v>
      </c>
      <c r="D564" s="2" t="s">
        <v>4135</v>
      </c>
      <c r="F564" s="3" t="s">
        <v>58</v>
      </c>
      <c r="G564" s="3" t="s">
        <v>59</v>
      </c>
      <c r="H564" s="3" t="s">
        <v>58</v>
      </c>
      <c r="I564" s="3" t="s">
        <v>58</v>
      </c>
      <c r="J564" s="3" t="s">
        <v>60</v>
      </c>
      <c r="K564" s="2" t="s">
        <v>4130</v>
      </c>
      <c r="L564" s="2" t="s">
        <v>4136</v>
      </c>
      <c r="M564" s="3" t="s">
        <v>4067</v>
      </c>
      <c r="O564" s="3" t="s">
        <v>64</v>
      </c>
      <c r="P564" s="3" t="s">
        <v>65</v>
      </c>
      <c r="R564" s="3" t="s">
        <v>1346</v>
      </c>
      <c r="S564" s="4">
        <v>5</v>
      </c>
      <c r="T564" s="4">
        <v>5</v>
      </c>
      <c r="U564" s="5" t="s">
        <v>4068</v>
      </c>
      <c r="V564" s="5" t="s">
        <v>4068</v>
      </c>
      <c r="W564" s="5" t="s">
        <v>3704</v>
      </c>
      <c r="X564" s="5" t="s">
        <v>3704</v>
      </c>
      <c r="Y564" s="4">
        <v>148</v>
      </c>
      <c r="Z564" s="4">
        <v>113</v>
      </c>
      <c r="AA564" s="4">
        <v>115</v>
      </c>
      <c r="AB564" s="4">
        <v>2</v>
      </c>
      <c r="AC564" s="4">
        <v>2</v>
      </c>
      <c r="AD564" s="4">
        <v>6</v>
      </c>
      <c r="AE564" s="4">
        <v>6</v>
      </c>
      <c r="AF564" s="4">
        <v>3</v>
      </c>
      <c r="AG564" s="4">
        <v>3</v>
      </c>
      <c r="AH564" s="4">
        <v>1</v>
      </c>
      <c r="AI564" s="4">
        <v>1</v>
      </c>
      <c r="AJ564" s="4">
        <v>3</v>
      </c>
      <c r="AK564" s="4">
        <v>3</v>
      </c>
      <c r="AL564" s="4">
        <v>1</v>
      </c>
      <c r="AM564" s="4">
        <v>1</v>
      </c>
      <c r="AN564" s="4">
        <v>0</v>
      </c>
      <c r="AO564" s="4">
        <v>0</v>
      </c>
      <c r="AP564" s="3" t="s">
        <v>58</v>
      </c>
      <c r="AQ564" s="3" t="s">
        <v>58</v>
      </c>
      <c r="AR564" s="6" t="str">
        <f>HYPERLINK("http://catalog.hathitrust.org/Record/001572909","HathiTrust Record")</f>
        <v>HathiTrust Record</v>
      </c>
      <c r="AS564" s="6" t="str">
        <f>HYPERLINK("https://creighton-primo.hosted.exlibrisgroup.com/primo-explore/search?tab=default_tab&amp;search_scope=EVERYTHING&amp;vid=01CRU&amp;lang=en_US&amp;offset=0&amp;query=any,contains,991000962419702656","Catalog Record")</f>
        <v>Catalog Record</v>
      </c>
      <c r="AT564" s="6" t="str">
        <f>HYPERLINK("http://www.worldcat.org/oclc/2392199","WorldCat Record")</f>
        <v>WorldCat Record</v>
      </c>
    </row>
    <row r="565" spans="1:46" ht="40.5" customHeight="1" x14ac:dyDescent="0.25">
      <c r="A565" s="8" t="s">
        <v>58</v>
      </c>
      <c r="B565" s="2" t="s">
        <v>4137</v>
      </c>
      <c r="C565" s="2" t="s">
        <v>4138</v>
      </c>
      <c r="D565" s="2" t="s">
        <v>4139</v>
      </c>
      <c r="F565" s="3" t="s">
        <v>58</v>
      </c>
      <c r="G565" s="3" t="s">
        <v>59</v>
      </c>
      <c r="H565" s="3" t="s">
        <v>58</v>
      </c>
      <c r="I565" s="3" t="s">
        <v>58</v>
      </c>
      <c r="J565" s="3" t="s">
        <v>60</v>
      </c>
      <c r="K565" s="2" t="s">
        <v>4140</v>
      </c>
      <c r="L565" s="2" t="s">
        <v>4141</v>
      </c>
      <c r="M565" s="3" t="s">
        <v>4142</v>
      </c>
      <c r="N565" s="2" t="s">
        <v>4143</v>
      </c>
      <c r="O565" s="3" t="s">
        <v>64</v>
      </c>
      <c r="P565" s="3" t="s">
        <v>291</v>
      </c>
      <c r="R565" s="3" t="s">
        <v>1346</v>
      </c>
      <c r="S565" s="4">
        <v>5</v>
      </c>
      <c r="T565" s="4">
        <v>5</v>
      </c>
      <c r="U565" s="5" t="s">
        <v>4144</v>
      </c>
      <c r="V565" s="5" t="s">
        <v>4144</v>
      </c>
      <c r="W565" s="5" t="s">
        <v>3664</v>
      </c>
      <c r="X565" s="5" t="s">
        <v>3664</v>
      </c>
      <c r="Y565" s="4">
        <v>24</v>
      </c>
      <c r="Z565" s="4">
        <v>22</v>
      </c>
      <c r="AA565" s="4">
        <v>65</v>
      </c>
      <c r="AB565" s="4">
        <v>1</v>
      </c>
      <c r="AC565" s="4">
        <v>1</v>
      </c>
      <c r="AD565" s="4">
        <v>0</v>
      </c>
      <c r="AE565" s="4">
        <v>2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v>2</v>
      </c>
      <c r="AL565" s="4">
        <v>0</v>
      </c>
      <c r="AM565" s="4">
        <v>0</v>
      </c>
      <c r="AN565" s="4">
        <v>0</v>
      </c>
      <c r="AO565" s="4">
        <v>0</v>
      </c>
      <c r="AP565" s="3" t="s">
        <v>58</v>
      </c>
      <c r="AQ565" s="3" t="s">
        <v>58</v>
      </c>
      <c r="AS565" s="6" t="str">
        <f>HYPERLINK("https://creighton-primo.hosted.exlibrisgroup.com/primo-explore/search?tab=default_tab&amp;search_scope=EVERYTHING&amp;vid=01CRU&amp;lang=en_US&amp;offset=0&amp;query=any,contains,991000962379702656","Catalog Record")</f>
        <v>Catalog Record</v>
      </c>
      <c r="AT565" s="6" t="str">
        <f>HYPERLINK("http://www.worldcat.org/oclc/2108511","WorldCat Record")</f>
        <v>WorldCat Record</v>
      </c>
    </row>
    <row r="566" spans="1:46" ht="40.5" customHeight="1" x14ac:dyDescent="0.25">
      <c r="A566" s="8" t="s">
        <v>58</v>
      </c>
      <c r="B566" s="2" t="s">
        <v>4145</v>
      </c>
      <c r="C566" s="2" t="s">
        <v>4146</v>
      </c>
      <c r="D566" s="2" t="s">
        <v>4147</v>
      </c>
      <c r="F566" s="3" t="s">
        <v>58</v>
      </c>
      <c r="G566" s="3" t="s">
        <v>59</v>
      </c>
      <c r="H566" s="3" t="s">
        <v>58</v>
      </c>
      <c r="I566" s="3" t="s">
        <v>58</v>
      </c>
      <c r="J566" s="3" t="s">
        <v>60</v>
      </c>
      <c r="K566" s="2" t="s">
        <v>4148</v>
      </c>
      <c r="L566" s="2" t="s">
        <v>4149</v>
      </c>
      <c r="M566" s="3" t="s">
        <v>3701</v>
      </c>
      <c r="O566" s="3" t="s">
        <v>64</v>
      </c>
      <c r="P566" s="3" t="s">
        <v>265</v>
      </c>
      <c r="R566" s="3" t="s">
        <v>1346</v>
      </c>
      <c r="S566" s="4">
        <v>3</v>
      </c>
      <c r="T566" s="4">
        <v>3</v>
      </c>
      <c r="U566" s="5" t="s">
        <v>4144</v>
      </c>
      <c r="V566" s="5" t="s">
        <v>4144</v>
      </c>
      <c r="W566" s="5" t="s">
        <v>3664</v>
      </c>
      <c r="X566" s="5" t="s">
        <v>3664</v>
      </c>
      <c r="Y566" s="4">
        <v>144</v>
      </c>
      <c r="Z566" s="4">
        <v>128</v>
      </c>
      <c r="AA566" s="4">
        <v>230</v>
      </c>
      <c r="AB566" s="4">
        <v>2</v>
      </c>
      <c r="AC566" s="4">
        <v>2</v>
      </c>
      <c r="AD566" s="4">
        <v>7</v>
      </c>
      <c r="AE566" s="4">
        <v>9</v>
      </c>
      <c r="AF566" s="4">
        <v>2</v>
      </c>
      <c r="AG566" s="4">
        <v>3</v>
      </c>
      <c r="AH566" s="4">
        <v>2</v>
      </c>
      <c r="AI566" s="4">
        <v>2</v>
      </c>
      <c r="AJ566" s="4">
        <v>3</v>
      </c>
      <c r="AK566" s="4">
        <v>4</v>
      </c>
      <c r="AL566" s="4">
        <v>1</v>
      </c>
      <c r="AM566" s="4">
        <v>1</v>
      </c>
      <c r="AN566" s="4">
        <v>0</v>
      </c>
      <c r="AO566" s="4">
        <v>0</v>
      </c>
      <c r="AP566" s="3" t="s">
        <v>58</v>
      </c>
      <c r="AQ566" s="3" t="s">
        <v>58</v>
      </c>
      <c r="AS566" s="6" t="str">
        <f>HYPERLINK("https://creighton-primo.hosted.exlibrisgroup.com/primo-explore/search?tab=default_tab&amp;search_scope=EVERYTHING&amp;vid=01CRU&amp;lang=en_US&amp;offset=0&amp;query=any,contains,991000962299702656","Catalog Record")</f>
        <v>Catalog Record</v>
      </c>
      <c r="AT566" s="6" t="str">
        <f>HYPERLINK("http://www.worldcat.org/oclc/3251217","WorldCat Record")</f>
        <v>WorldCat Record</v>
      </c>
    </row>
    <row r="567" spans="1:46" ht="40.5" customHeight="1" x14ac:dyDescent="0.25">
      <c r="A567" s="8" t="s">
        <v>58</v>
      </c>
      <c r="B567" s="2" t="s">
        <v>4150</v>
      </c>
      <c r="C567" s="2" t="s">
        <v>4151</v>
      </c>
      <c r="D567" s="2" t="s">
        <v>4152</v>
      </c>
      <c r="F567" s="3" t="s">
        <v>58</v>
      </c>
      <c r="G567" s="3" t="s">
        <v>59</v>
      </c>
      <c r="H567" s="3" t="s">
        <v>58</v>
      </c>
      <c r="I567" s="3" t="s">
        <v>58</v>
      </c>
      <c r="J567" s="3" t="s">
        <v>60</v>
      </c>
      <c r="K567" s="2" t="s">
        <v>4153</v>
      </c>
      <c r="L567" s="2" t="s">
        <v>4154</v>
      </c>
      <c r="M567" s="3" t="s">
        <v>4142</v>
      </c>
      <c r="O567" s="3" t="s">
        <v>64</v>
      </c>
      <c r="P567" s="3" t="s">
        <v>144</v>
      </c>
      <c r="R567" s="3" t="s">
        <v>1346</v>
      </c>
      <c r="S567" s="4">
        <v>6</v>
      </c>
      <c r="T567" s="4">
        <v>6</v>
      </c>
      <c r="U567" s="5" t="s">
        <v>4144</v>
      </c>
      <c r="V567" s="5" t="s">
        <v>4144</v>
      </c>
      <c r="W567" s="5" t="s">
        <v>3664</v>
      </c>
      <c r="X567" s="5" t="s">
        <v>3664</v>
      </c>
      <c r="Y567" s="4">
        <v>198</v>
      </c>
      <c r="Z567" s="4">
        <v>155</v>
      </c>
      <c r="AA567" s="4">
        <v>195</v>
      </c>
      <c r="AB567" s="4">
        <v>3</v>
      </c>
      <c r="AC567" s="4">
        <v>3</v>
      </c>
      <c r="AD567" s="4">
        <v>6</v>
      </c>
      <c r="AE567" s="4">
        <v>6</v>
      </c>
      <c r="AF567" s="4">
        <v>2</v>
      </c>
      <c r="AG567" s="4">
        <v>2</v>
      </c>
      <c r="AH567" s="4">
        <v>1</v>
      </c>
      <c r="AI567" s="4">
        <v>1</v>
      </c>
      <c r="AJ567" s="4">
        <v>1</v>
      </c>
      <c r="AK567" s="4">
        <v>1</v>
      </c>
      <c r="AL567" s="4">
        <v>2</v>
      </c>
      <c r="AM567" s="4">
        <v>2</v>
      </c>
      <c r="AN567" s="4">
        <v>0</v>
      </c>
      <c r="AO567" s="4">
        <v>0</v>
      </c>
      <c r="AP567" s="3" t="s">
        <v>115</v>
      </c>
      <c r="AQ567" s="3" t="s">
        <v>58</v>
      </c>
      <c r="AR567" s="6" t="str">
        <f>HYPERLINK("http://catalog.hathitrust.org/Record/001582133","HathiTrust Record")</f>
        <v>HathiTrust Record</v>
      </c>
      <c r="AS567" s="6" t="str">
        <f>HYPERLINK("https://creighton-primo.hosted.exlibrisgroup.com/primo-explore/search?tab=default_tab&amp;search_scope=EVERYTHING&amp;vid=01CRU&amp;lang=en_US&amp;offset=0&amp;query=any,contains,991000962339702656","Catalog Record")</f>
        <v>Catalog Record</v>
      </c>
      <c r="AT567" s="6" t="str">
        <f>HYPERLINK("http://www.worldcat.org/oclc/3641644","WorldCat Record")</f>
        <v>WorldCat Record</v>
      </c>
    </row>
    <row r="568" spans="1:46" ht="40.5" customHeight="1" x14ac:dyDescent="0.25">
      <c r="A568" s="8" t="s">
        <v>58</v>
      </c>
      <c r="B568" s="2" t="s">
        <v>4155</v>
      </c>
      <c r="C568" s="2" t="s">
        <v>4156</v>
      </c>
      <c r="D568" s="2" t="s">
        <v>4157</v>
      </c>
      <c r="F568" s="3" t="s">
        <v>58</v>
      </c>
      <c r="G568" s="3" t="s">
        <v>59</v>
      </c>
      <c r="H568" s="3" t="s">
        <v>58</v>
      </c>
      <c r="I568" s="3" t="s">
        <v>58</v>
      </c>
      <c r="J568" s="3" t="s">
        <v>59</v>
      </c>
      <c r="K568" s="2" t="s">
        <v>4158</v>
      </c>
      <c r="L568" s="2" t="s">
        <v>4159</v>
      </c>
      <c r="M568" s="3" t="s">
        <v>4160</v>
      </c>
      <c r="O568" s="3" t="s">
        <v>64</v>
      </c>
      <c r="P568" s="3" t="s">
        <v>96</v>
      </c>
      <c r="R568" s="3" t="s">
        <v>1346</v>
      </c>
      <c r="S568" s="4">
        <v>4</v>
      </c>
      <c r="T568" s="4">
        <v>4</v>
      </c>
      <c r="U568" s="5" t="s">
        <v>1535</v>
      </c>
      <c r="V568" s="5" t="s">
        <v>1535</v>
      </c>
      <c r="W568" s="5" t="s">
        <v>3664</v>
      </c>
      <c r="X568" s="5" t="s">
        <v>3664</v>
      </c>
      <c r="Y568" s="4">
        <v>344</v>
      </c>
      <c r="Z568" s="4">
        <v>297</v>
      </c>
      <c r="AA568" s="4">
        <v>306</v>
      </c>
      <c r="AB568" s="4">
        <v>2</v>
      </c>
      <c r="AC568" s="4">
        <v>2</v>
      </c>
      <c r="AD568" s="4">
        <v>12</v>
      </c>
      <c r="AE568" s="4">
        <v>12</v>
      </c>
      <c r="AF568" s="4">
        <v>3</v>
      </c>
      <c r="AG568" s="4">
        <v>3</v>
      </c>
      <c r="AH568" s="4">
        <v>3</v>
      </c>
      <c r="AI568" s="4">
        <v>3</v>
      </c>
      <c r="AJ568" s="4">
        <v>7</v>
      </c>
      <c r="AK568" s="4">
        <v>7</v>
      </c>
      <c r="AL568" s="4">
        <v>1</v>
      </c>
      <c r="AM568" s="4">
        <v>1</v>
      </c>
      <c r="AN568" s="4">
        <v>0</v>
      </c>
      <c r="AO568" s="4">
        <v>0</v>
      </c>
      <c r="AP568" s="3" t="s">
        <v>58</v>
      </c>
      <c r="AQ568" s="3" t="s">
        <v>58</v>
      </c>
      <c r="AR568" s="6" t="str">
        <f>HYPERLINK("http://catalog.hathitrust.org/Record/002089704","HathiTrust Record")</f>
        <v>HathiTrust Record</v>
      </c>
      <c r="AS568" s="6" t="str">
        <f>HYPERLINK("https://creighton-primo.hosted.exlibrisgroup.com/primo-explore/search?tab=default_tab&amp;search_scope=EVERYTHING&amp;vid=01CRU&amp;lang=en_US&amp;offset=0&amp;query=any,contains,991000962239702656","Catalog Record")</f>
        <v>Catalog Record</v>
      </c>
      <c r="AT568" s="6" t="str">
        <f>HYPERLINK("http://www.worldcat.org/oclc/14646149","WorldCat Record")</f>
        <v>WorldCat Record</v>
      </c>
    </row>
    <row r="569" spans="1:46" ht="40.5" customHeight="1" x14ac:dyDescent="0.25">
      <c r="A569" s="8" t="s">
        <v>58</v>
      </c>
      <c r="B569" s="2" t="s">
        <v>4161</v>
      </c>
      <c r="C569" s="2" t="s">
        <v>4162</v>
      </c>
      <c r="D569" s="2" t="s">
        <v>4163</v>
      </c>
      <c r="F569" s="3" t="s">
        <v>58</v>
      </c>
      <c r="G569" s="3" t="s">
        <v>59</v>
      </c>
      <c r="H569" s="3" t="s">
        <v>58</v>
      </c>
      <c r="I569" s="3" t="s">
        <v>58</v>
      </c>
      <c r="J569" s="3" t="s">
        <v>60</v>
      </c>
      <c r="K569" s="2" t="s">
        <v>4164</v>
      </c>
      <c r="L569" s="2" t="s">
        <v>4165</v>
      </c>
      <c r="M569" s="3" t="s">
        <v>725</v>
      </c>
      <c r="O569" s="3" t="s">
        <v>64</v>
      </c>
      <c r="P569" s="3" t="s">
        <v>1355</v>
      </c>
      <c r="R569" s="3" t="s">
        <v>1346</v>
      </c>
      <c r="S569" s="4">
        <v>5</v>
      </c>
      <c r="T569" s="4">
        <v>5</v>
      </c>
      <c r="U569" s="5" t="s">
        <v>4166</v>
      </c>
      <c r="V569" s="5" t="s">
        <v>4166</v>
      </c>
      <c r="W569" s="5" t="s">
        <v>3664</v>
      </c>
      <c r="X569" s="5" t="s">
        <v>3664</v>
      </c>
      <c r="Y569" s="4">
        <v>691</v>
      </c>
      <c r="Z569" s="4">
        <v>584</v>
      </c>
      <c r="AA569" s="4">
        <v>595</v>
      </c>
      <c r="AB569" s="4">
        <v>5</v>
      </c>
      <c r="AC569" s="4">
        <v>5</v>
      </c>
      <c r="AD569" s="4">
        <v>28</v>
      </c>
      <c r="AE569" s="4">
        <v>29</v>
      </c>
      <c r="AF569" s="4">
        <v>16</v>
      </c>
      <c r="AG569" s="4">
        <v>16</v>
      </c>
      <c r="AH569" s="4">
        <v>5</v>
      </c>
      <c r="AI569" s="4">
        <v>5</v>
      </c>
      <c r="AJ569" s="4">
        <v>10</v>
      </c>
      <c r="AK569" s="4">
        <v>11</v>
      </c>
      <c r="AL569" s="4">
        <v>4</v>
      </c>
      <c r="AM569" s="4">
        <v>4</v>
      </c>
      <c r="AN569" s="4">
        <v>0</v>
      </c>
      <c r="AO569" s="4">
        <v>0</v>
      </c>
      <c r="AP569" s="3" t="s">
        <v>58</v>
      </c>
      <c r="AQ569" s="3" t="s">
        <v>58</v>
      </c>
      <c r="AS569" s="6" t="str">
        <f>HYPERLINK("https://creighton-primo.hosted.exlibrisgroup.com/primo-explore/search?tab=default_tab&amp;search_scope=EVERYTHING&amp;vid=01CRU&amp;lang=en_US&amp;offset=0&amp;query=any,contains,991000962119702656","Catalog Record")</f>
        <v>Catalog Record</v>
      </c>
      <c r="AT569" s="6" t="str">
        <f>HYPERLINK("http://www.worldcat.org/oclc/8170304","WorldCat Record")</f>
        <v>WorldCat Record</v>
      </c>
    </row>
    <row r="570" spans="1:46" ht="40.5" customHeight="1" x14ac:dyDescent="0.25">
      <c r="A570" s="8" t="s">
        <v>58</v>
      </c>
      <c r="B570" s="2" t="s">
        <v>4167</v>
      </c>
      <c r="C570" s="2" t="s">
        <v>4168</v>
      </c>
      <c r="D570" s="2" t="s">
        <v>4169</v>
      </c>
      <c r="F570" s="3" t="s">
        <v>58</v>
      </c>
      <c r="G570" s="3" t="s">
        <v>59</v>
      </c>
      <c r="H570" s="3" t="s">
        <v>58</v>
      </c>
      <c r="I570" s="3" t="s">
        <v>58</v>
      </c>
      <c r="J570" s="3" t="s">
        <v>60</v>
      </c>
      <c r="K570" s="2" t="s">
        <v>4170</v>
      </c>
      <c r="L570" s="2" t="s">
        <v>4171</v>
      </c>
      <c r="M570" s="3" t="s">
        <v>2027</v>
      </c>
      <c r="O570" s="3" t="s">
        <v>64</v>
      </c>
      <c r="P570" s="3" t="s">
        <v>755</v>
      </c>
      <c r="R570" s="3" t="s">
        <v>1346</v>
      </c>
      <c r="S570" s="4">
        <v>4</v>
      </c>
      <c r="T570" s="4">
        <v>4</v>
      </c>
      <c r="U570" s="5" t="s">
        <v>4144</v>
      </c>
      <c r="V570" s="5" t="s">
        <v>4144</v>
      </c>
      <c r="W570" s="5" t="s">
        <v>3664</v>
      </c>
      <c r="X570" s="5" t="s">
        <v>3664</v>
      </c>
      <c r="Y570" s="4">
        <v>78</v>
      </c>
      <c r="Z570" s="4">
        <v>70</v>
      </c>
      <c r="AA570" s="4">
        <v>76</v>
      </c>
      <c r="AB570" s="4">
        <v>1</v>
      </c>
      <c r="AC570" s="4">
        <v>1</v>
      </c>
      <c r="AD570" s="4">
        <v>1</v>
      </c>
      <c r="AE570" s="4">
        <v>1</v>
      </c>
      <c r="AF570" s="4">
        <v>0</v>
      </c>
      <c r="AG570" s="4">
        <v>0</v>
      </c>
      <c r="AH570" s="4">
        <v>0</v>
      </c>
      <c r="AI570" s="4">
        <v>0</v>
      </c>
      <c r="AJ570" s="4">
        <v>1</v>
      </c>
      <c r="AK570" s="4">
        <v>1</v>
      </c>
      <c r="AL570" s="4">
        <v>0</v>
      </c>
      <c r="AM570" s="4">
        <v>0</v>
      </c>
      <c r="AN570" s="4">
        <v>0</v>
      </c>
      <c r="AO570" s="4">
        <v>0</v>
      </c>
      <c r="AP570" s="3" t="s">
        <v>115</v>
      </c>
      <c r="AQ570" s="3" t="s">
        <v>58</v>
      </c>
      <c r="AR570" s="6" t="str">
        <f>HYPERLINK("http://catalog.hathitrust.org/Record/001582155","HathiTrust Record")</f>
        <v>HathiTrust Record</v>
      </c>
      <c r="AS570" s="6" t="str">
        <f>HYPERLINK("https://creighton-primo.hosted.exlibrisgroup.com/primo-explore/search?tab=default_tab&amp;search_scope=EVERYTHING&amp;vid=01CRU&amp;lang=en_US&amp;offset=0&amp;query=any,contains,991000962199702656","Catalog Record")</f>
        <v>Catalog Record</v>
      </c>
      <c r="AT570" s="6" t="str">
        <f>HYPERLINK("http://www.worldcat.org/oclc/374418","WorldCat Record")</f>
        <v>WorldCat Record</v>
      </c>
    </row>
    <row r="571" spans="1:46" ht="40.5" customHeight="1" x14ac:dyDescent="0.25">
      <c r="A571" s="8" t="s">
        <v>58</v>
      </c>
      <c r="B571" s="2" t="s">
        <v>4172</v>
      </c>
      <c r="C571" s="2" t="s">
        <v>4173</v>
      </c>
      <c r="D571" s="2" t="s">
        <v>4174</v>
      </c>
      <c r="F571" s="3" t="s">
        <v>58</v>
      </c>
      <c r="G571" s="3" t="s">
        <v>59</v>
      </c>
      <c r="H571" s="3" t="s">
        <v>58</v>
      </c>
      <c r="I571" s="3" t="s">
        <v>115</v>
      </c>
      <c r="J571" s="3" t="s">
        <v>60</v>
      </c>
      <c r="K571" s="2" t="s">
        <v>4175</v>
      </c>
      <c r="L571" s="2" t="s">
        <v>4176</v>
      </c>
      <c r="M571" s="3" t="s">
        <v>483</v>
      </c>
      <c r="N571" s="2" t="s">
        <v>221</v>
      </c>
      <c r="O571" s="3" t="s">
        <v>64</v>
      </c>
      <c r="P571" s="3" t="s">
        <v>265</v>
      </c>
      <c r="Q571" s="2" t="s">
        <v>4177</v>
      </c>
      <c r="R571" s="3" t="s">
        <v>1346</v>
      </c>
      <c r="S571" s="4">
        <v>12</v>
      </c>
      <c r="T571" s="4">
        <v>12</v>
      </c>
      <c r="U571" s="5" t="s">
        <v>2490</v>
      </c>
      <c r="V571" s="5" t="s">
        <v>2490</v>
      </c>
      <c r="W571" s="5" t="s">
        <v>4178</v>
      </c>
      <c r="X571" s="5" t="s">
        <v>4178</v>
      </c>
      <c r="Y571" s="4">
        <v>304</v>
      </c>
      <c r="Z571" s="4">
        <v>260</v>
      </c>
      <c r="AA571" s="4">
        <v>575</v>
      </c>
      <c r="AB571" s="4">
        <v>2</v>
      </c>
      <c r="AC571" s="4">
        <v>3</v>
      </c>
      <c r="AD571" s="4">
        <v>4</v>
      </c>
      <c r="AE571" s="4">
        <v>12</v>
      </c>
      <c r="AF571" s="4">
        <v>1</v>
      </c>
      <c r="AG571" s="4">
        <v>4</v>
      </c>
      <c r="AH571" s="4">
        <v>1</v>
      </c>
      <c r="AI571" s="4">
        <v>3</v>
      </c>
      <c r="AJ571" s="4">
        <v>1</v>
      </c>
      <c r="AK571" s="4">
        <v>2</v>
      </c>
      <c r="AL571" s="4">
        <v>1</v>
      </c>
      <c r="AM571" s="4">
        <v>2</v>
      </c>
      <c r="AN571" s="4">
        <v>1</v>
      </c>
      <c r="AO571" s="4">
        <v>2</v>
      </c>
      <c r="AP571" s="3" t="s">
        <v>58</v>
      </c>
      <c r="AQ571" s="3" t="s">
        <v>115</v>
      </c>
      <c r="AR571" s="6" t="str">
        <f>HYPERLINK("http://catalog.hathitrust.org/Record/000707118","HathiTrust Record")</f>
        <v>HathiTrust Record</v>
      </c>
      <c r="AS571" s="6" t="str">
        <f>HYPERLINK("https://creighton-primo.hosted.exlibrisgroup.com/primo-explore/search?tab=default_tab&amp;search_scope=EVERYTHING&amp;vid=01CRU&amp;lang=en_US&amp;offset=0&amp;query=any,contains,991000499149702656","Catalog Record")</f>
        <v>Catalog Record</v>
      </c>
      <c r="AT571" s="6" t="str">
        <f>HYPERLINK("http://www.worldcat.org/oclc/3845104","WorldCat Record")</f>
        <v>WorldCat Record</v>
      </c>
    </row>
    <row r="572" spans="1:46" ht="40.5" customHeight="1" x14ac:dyDescent="0.25">
      <c r="A572" s="8" t="s">
        <v>58</v>
      </c>
      <c r="B572" s="2" t="s">
        <v>4179</v>
      </c>
      <c r="C572" s="2" t="s">
        <v>4180</v>
      </c>
      <c r="D572" s="2" t="s">
        <v>4181</v>
      </c>
      <c r="F572" s="3" t="s">
        <v>58</v>
      </c>
      <c r="G572" s="3" t="s">
        <v>59</v>
      </c>
      <c r="H572" s="3" t="s">
        <v>58</v>
      </c>
      <c r="I572" s="3" t="s">
        <v>115</v>
      </c>
      <c r="J572" s="3" t="s">
        <v>1367</v>
      </c>
      <c r="L572" s="2" t="s">
        <v>4182</v>
      </c>
      <c r="M572" s="3" t="s">
        <v>95</v>
      </c>
      <c r="N572" s="2" t="s">
        <v>1354</v>
      </c>
      <c r="O572" s="3" t="s">
        <v>64</v>
      </c>
      <c r="P572" s="3" t="s">
        <v>65</v>
      </c>
      <c r="R572" s="3" t="s">
        <v>1346</v>
      </c>
      <c r="S572" s="4">
        <v>3</v>
      </c>
      <c r="T572" s="4">
        <v>3</v>
      </c>
      <c r="U572" s="5" t="s">
        <v>4183</v>
      </c>
      <c r="V572" s="5" t="s">
        <v>4183</v>
      </c>
      <c r="W572" s="5" t="s">
        <v>4184</v>
      </c>
      <c r="X572" s="5" t="s">
        <v>4184</v>
      </c>
      <c r="Y572" s="4">
        <v>635</v>
      </c>
      <c r="Z572" s="4">
        <v>484</v>
      </c>
      <c r="AA572" s="4">
        <v>1737</v>
      </c>
      <c r="AB572" s="4">
        <v>2</v>
      </c>
      <c r="AC572" s="4">
        <v>18</v>
      </c>
      <c r="AD572" s="4">
        <v>14</v>
      </c>
      <c r="AE572" s="4">
        <v>46</v>
      </c>
      <c r="AF572" s="4">
        <v>6</v>
      </c>
      <c r="AG572" s="4">
        <v>19</v>
      </c>
      <c r="AH572" s="4">
        <v>3</v>
      </c>
      <c r="AI572" s="4">
        <v>8</v>
      </c>
      <c r="AJ572" s="4">
        <v>6</v>
      </c>
      <c r="AK572" s="4">
        <v>18</v>
      </c>
      <c r="AL572" s="4">
        <v>1</v>
      </c>
      <c r="AM572" s="4">
        <v>11</v>
      </c>
      <c r="AN572" s="4">
        <v>0</v>
      </c>
      <c r="AO572" s="4">
        <v>0</v>
      </c>
      <c r="AP572" s="3" t="s">
        <v>58</v>
      </c>
      <c r="AQ572" s="3" t="s">
        <v>115</v>
      </c>
      <c r="AR572" s="6" t="str">
        <f>HYPERLINK("http://catalog.hathitrust.org/Record/004179502","HathiTrust Record")</f>
        <v>HathiTrust Record</v>
      </c>
      <c r="AS572" s="6" t="str">
        <f>HYPERLINK("https://creighton-primo.hosted.exlibrisgroup.com/primo-explore/search?tab=default_tab&amp;search_scope=EVERYTHING&amp;vid=01CRU&amp;lang=en_US&amp;offset=0&amp;query=any,contains,991000298519702656","Catalog Record")</f>
        <v>Catalog Record</v>
      </c>
      <c r="AT572" s="6" t="str">
        <f>HYPERLINK("http://www.worldcat.org/oclc/47965382","WorldCat Record")</f>
        <v>WorldCat Record</v>
      </c>
    </row>
    <row r="573" spans="1:46" ht="40.5" customHeight="1" x14ac:dyDescent="0.25">
      <c r="A573" s="8" t="s">
        <v>58</v>
      </c>
      <c r="B573" s="2" t="s">
        <v>4185</v>
      </c>
      <c r="C573" s="2" t="s">
        <v>4186</v>
      </c>
      <c r="D573" s="2" t="s">
        <v>4187</v>
      </c>
      <c r="F573" s="3" t="s">
        <v>58</v>
      </c>
      <c r="G573" s="3" t="s">
        <v>59</v>
      </c>
      <c r="H573" s="3" t="s">
        <v>58</v>
      </c>
      <c r="I573" s="3" t="s">
        <v>58</v>
      </c>
      <c r="J573" s="3" t="s">
        <v>60</v>
      </c>
      <c r="L573" s="2" t="s">
        <v>4188</v>
      </c>
      <c r="M573" s="3" t="s">
        <v>1392</v>
      </c>
      <c r="O573" s="3" t="s">
        <v>64</v>
      </c>
      <c r="P573" s="3" t="s">
        <v>1355</v>
      </c>
      <c r="R573" s="3" t="s">
        <v>1346</v>
      </c>
      <c r="S573" s="4">
        <v>36</v>
      </c>
      <c r="T573" s="4">
        <v>36</v>
      </c>
      <c r="U573" s="5" t="s">
        <v>4189</v>
      </c>
      <c r="V573" s="5" t="s">
        <v>4189</v>
      </c>
      <c r="W573" s="5" t="s">
        <v>4190</v>
      </c>
      <c r="X573" s="5" t="s">
        <v>4190</v>
      </c>
      <c r="Y573" s="4">
        <v>237</v>
      </c>
      <c r="Z573" s="4">
        <v>195</v>
      </c>
      <c r="AA573" s="4">
        <v>582</v>
      </c>
      <c r="AB573" s="4">
        <v>2</v>
      </c>
      <c r="AC573" s="4">
        <v>4</v>
      </c>
      <c r="AD573" s="4">
        <v>2</v>
      </c>
      <c r="AE573" s="4">
        <v>16</v>
      </c>
      <c r="AF573" s="4">
        <v>0</v>
      </c>
      <c r="AG573" s="4">
        <v>6</v>
      </c>
      <c r="AH573" s="4">
        <v>0</v>
      </c>
      <c r="AI573" s="4">
        <v>4</v>
      </c>
      <c r="AJ573" s="4">
        <v>0</v>
      </c>
      <c r="AK573" s="4">
        <v>6</v>
      </c>
      <c r="AL573" s="4">
        <v>1</v>
      </c>
      <c r="AM573" s="4">
        <v>2</v>
      </c>
      <c r="AN573" s="4">
        <v>1</v>
      </c>
      <c r="AO573" s="4">
        <v>1</v>
      </c>
      <c r="AP573" s="3" t="s">
        <v>58</v>
      </c>
      <c r="AQ573" s="3" t="s">
        <v>115</v>
      </c>
      <c r="AR573" s="6" t="str">
        <f>HYPERLINK("http://catalog.hathitrust.org/Record/000279432","HathiTrust Record")</f>
        <v>HathiTrust Record</v>
      </c>
      <c r="AS573" s="6" t="str">
        <f>HYPERLINK("https://creighton-primo.hosted.exlibrisgroup.com/primo-explore/search?tab=default_tab&amp;search_scope=EVERYTHING&amp;vid=01CRU&amp;lang=en_US&amp;offset=0&amp;query=any,contains,991000962929702656","Catalog Record")</f>
        <v>Catalog Record</v>
      </c>
      <c r="AT573" s="6" t="str">
        <f>HYPERLINK("http://www.worldcat.org/oclc/8284278","WorldCat Record")</f>
        <v>WorldCat Record</v>
      </c>
    </row>
    <row r="574" spans="1:46" ht="40.5" customHeight="1" x14ac:dyDescent="0.25">
      <c r="A574" s="8" t="s">
        <v>58</v>
      </c>
      <c r="B574" s="2" t="s">
        <v>4191</v>
      </c>
      <c r="C574" s="2" t="s">
        <v>4192</v>
      </c>
      <c r="D574" s="2" t="s">
        <v>4193</v>
      </c>
      <c r="F574" s="3" t="s">
        <v>58</v>
      </c>
      <c r="G574" s="3" t="s">
        <v>59</v>
      </c>
      <c r="H574" s="3" t="s">
        <v>58</v>
      </c>
      <c r="I574" s="3" t="s">
        <v>115</v>
      </c>
      <c r="J574" s="3" t="s">
        <v>60</v>
      </c>
      <c r="L574" s="2" t="s">
        <v>4194</v>
      </c>
      <c r="M574" s="3" t="s">
        <v>1702</v>
      </c>
      <c r="N574" s="2" t="s">
        <v>221</v>
      </c>
      <c r="O574" s="3" t="s">
        <v>64</v>
      </c>
      <c r="P574" s="3" t="s">
        <v>643</v>
      </c>
      <c r="R574" s="3" t="s">
        <v>1346</v>
      </c>
      <c r="S574" s="4">
        <v>6</v>
      </c>
      <c r="T574" s="4">
        <v>6</v>
      </c>
      <c r="U574" s="5" t="s">
        <v>1535</v>
      </c>
      <c r="V574" s="5" t="s">
        <v>1535</v>
      </c>
      <c r="W574" s="5" t="s">
        <v>4195</v>
      </c>
      <c r="X574" s="5" t="s">
        <v>4195</v>
      </c>
      <c r="Y574" s="4">
        <v>395</v>
      </c>
      <c r="Z574" s="4">
        <v>319</v>
      </c>
      <c r="AA574" s="4">
        <v>805</v>
      </c>
      <c r="AB574" s="4">
        <v>1</v>
      </c>
      <c r="AC574" s="4">
        <v>4</v>
      </c>
      <c r="AD574" s="4">
        <v>4</v>
      </c>
      <c r="AE574" s="4">
        <v>10</v>
      </c>
      <c r="AF574" s="4">
        <v>1</v>
      </c>
      <c r="AG574" s="4">
        <v>2</v>
      </c>
      <c r="AH574" s="4">
        <v>3</v>
      </c>
      <c r="AI574" s="4">
        <v>5</v>
      </c>
      <c r="AJ574" s="4">
        <v>3</v>
      </c>
      <c r="AK574" s="4">
        <v>4</v>
      </c>
      <c r="AL574" s="4">
        <v>0</v>
      </c>
      <c r="AM574" s="4">
        <v>2</v>
      </c>
      <c r="AN574" s="4">
        <v>0</v>
      </c>
      <c r="AO574" s="4">
        <v>1</v>
      </c>
      <c r="AP574" s="3" t="s">
        <v>58</v>
      </c>
      <c r="AQ574" s="3" t="s">
        <v>115</v>
      </c>
      <c r="AR574" s="6" t="str">
        <f>HYPERLINK("http://catalog.hathitrust.org/Record/000039960","HathiTrust Record")</f>
        <v>HathiTrust Record</v>
      </c>
      <c r="AS574" s="6" t="str">
        <f>HYPERLINK("https://creighton-primo.hosted.exlibrisgroup.com/primo-explore/search?tab=default_tab&amp;search_scope=EVERYTHING&amp;vid=01CRU&amp;lang=en_US&amp;offset=0&amp;query=any,contains,991001281629702656","Catalog Record")</f>
        <v>Catalog Record</v>
      </c>
      <c r="AT574" s="6" t="str">
        <f>HYPERLINK("http://www.worldcat.org/oclc/1341470","WorldCat Record")</f>
        <v>WorldCat Record</v>
      </c>
    </row>
    <row r="575" spans="1:46" ht="40.5" customHeight="1" x14ac:dyDescent="0.25">
      <c r="A575" s="8" t="s">
        <v>58</v>
      </c>
      <c r="B575" s="2" t="s">
        <v>4196</v>
      </c>
      <c r="C575" s="2" t="s">
        <v>4197</v>
      </c>
      <c r="D575" s="2" t="s">
        <v>4198</v>
      </c>
      <c r="F575" s="3" t="s">
        <v>58</v>
      </c>
      <c r="G575" s="3" t="s">
        <v>59</v>
      </c>
      <c r="H575" s="3" t="s">
        <v>58</v>
      </c>
      <c r="I575" s="3" t="s">
        <v>58</v>
      </c>
      <c r="J575" s="3" t="s">
        <v>60</v>
      </c>
      <c r="L575" s="2" t="s">
        <v>4199</v>
      </c>
      <c r="M575" s="3" t="s">
        <v>725</v>
      </c>
      <c r="O575" s="3" t="s">
        <v>64</v>
      </c>
      <c r="P575" s="3" t="s">
        <v>1355</v>
      </c>
      <c r="R575" s="3" t="s">
        <v>1346</v>
      </c>
      <c r="S575" s="4">
        <v>13</v>
      </c>
      <c r="T575" s="4">
        <v>13</v>
      </c>
      <c r="U575" s="5" t="s">
        <v>4200</v>
      </c>
      <c r="V575" s="5" t="s">
        <v>4200</v>
      </c>
      <c r="W575" s="5" t="s">
        <v>3664</v>
      </c>
      <c r="X575" s="5" t="s">
        <v>3664</v>
      </c>
      <c r="Y575" s="4">
        <v>209</v>
      </c>
      <c r="Z575" s="4">
        <v>163</v>
      </c>
      <c r="AA575" s="4">
        <v>166</v>
      </c>
      <c r="AB575" s="4">
        <v>2</v>
      </c>
      <c r="AC575" s="4">
        <v>2</v>
      </c>
      <c r="AD575" s="4">
        <v>4</v>
      </c>
      <c r="AE575" s="4">
        <v>4</v>
      </c>
      <c r="AF575" s="4">
        <v>2</v>
      </c>
      <c r="AG575" s="4">
        <v>2</v>
      </c>
      <c r="AH575" s="4">
        <v>1</v>
      </c>
      <c r="AI575" s="4">
        <v>1</v>
      </c>
      <c r="AJ575" s="4">
        <v>1</v>
      </c>
      <c r="AK575" s="4">
        <v>1</v>
      </c>
      <c r="AL575" s="4">
        <v>1</v>
      </c>
      <c r="AM575" s="4">
        <v>1</v>
      </c>
      <c r="AN575" s="4">
        <v>0</v>
      </c>
      <c r="AO575" s="4">
        <v>0</v>
      </c>
      <c r="AP575" s="3" t="s">
        <v>58</v>
      </c>
      <c r="AQ575" s="3" t="s">
        <v>115</v>
      </c>
      <c r="AR575" s="6" t="str">
        <f>HYPERLINK("http://catalog.hathitrust.org/Record/000148178","HathiTrust Record")</f>
        <v>HathiTrust Record</v>
      </c>
      <c r="AS575" s="6" t="str">
        <f>HYPERLINK("https://creighton-primo.hosted.exlibrisgroup.com/primo-explore/search?tab=default_tab&amp;search_scope=EVERYTHING&amp;vid=01CRU&amp;lang=en_US&amp;offset=0&amp;query=any,contains,991001006529702656","Catalog Record")</f>
        <v>Catalog Record</v>
      </c>
      <c r="AT575" s="6" t="str">
        <f>HYPERLINK("http://www.worldcat.org/oclc/8111248","WorldCat Record")</f>
        <v>WorldCat Record</v>
      </c>
    </row>
    <row r="576" spans="1:46" ht="40.5" customHeight="1" x14ac:dyDescent="0.25">
      <c r="A576" s="8" t="s">
        <v>58</v>
      </c>
      <c r="B576" s="2" t="s">
        <v>4201</v>
      </c>
      <c r="C576" s="2" t="s">
        <v>4202</v>
      </c>
      <c r="D576" s="2" t="s">
        <v>4203</v>
      </c>
      <c r="E576" s="3" t="s">
        <v>4204</v>
      </c>
      <c r="F576" s="3" t="s">
        <v>58</v>
      </c>
      <c r="G576" s="3" t="s">
        <v>59</v>
      </c>
      <c r="H576" s="3" t="s">
        <v>58</v>
      </c>
      <c r="I576" s="3" t="s">
        <v>115</v>
      </c>
      <c r="J576" s="3" t="s">
        <v>60</v>
      </c>
      <c r="K576" s="2" t="s">
        <v>2561</v>
      </c>
      <c r="L576" s="2" t="s">
        <v>4205</v>
      </c>
      <c r="M576" s="3" t="s">
        <v>1392</v>
      </c>
      <c r="N576" s="2" t="s">
        <v>2555</v>
      </c>
      <c r="O576" s="3" t="s">
        <v>64</v>
      </c>
      <c r="P576" s="3" t="s">
        <v>1355</v>
      </c>
      <c r="Q576" s="2" t="s">
        <v>1369</v>
      </c>
      <c r="R576" s="3" t="s">
        <v>1346</v>
      </c>
      <c r="S576" s="4">
        <v>30</v>
      </c>
      <c r="T576" s="4">
        <v>30</v>
      </c>
      <c r="U576" s="5" t="s">
        <v>4206</v>
      </c>
      <c r="V576" s="5" t="s">
        <v>4206</v>
      </c>
      <c r="W576" s="5" t="s">
        <v>3664</v>
      </c>
      <c r="X576" s="5" t="s">
        <v>3664</v>
      </c>
      <c r="Y576" s="4">
        <v>412</v>
      </c>
      <c r="Z576" s="4">
        <v>339</v>
      </c>
      <c r="AA576" s="4">
        <v>1136</v>
      </c>
      <c r="AB576" s="4">
        <v>2</v>
      </c>
      <c r="AC576" s="4">
        <v>7</v>
      </c>
      <c r="AD576" s="4">
        <v>4</v>
      </c>
      <c r="AE576" s="4">
        <v>15</v>
      </c>
      <c r="AF576" s="4">
        <v>1</v>
      </c>
      <c r="AG576" s="4">
        <v>5</v>
      </c>
      <c r="AH576" s="4">
        <v>1</v>
      </c>
      <c r="AI576" s="4">
        <v>4</v>
      </c>
      <c r="AJ576" s="4">
        <v>2</v>
      </c>
      <c r="AK576" s="4">
        <v>7</v>
      </c>
      <c r="AL576" s="4">
        <v>1</v>
      </c>
      <c r="AM576" s="4">
        <v>3</v>
      </c>
      <c r="AN576" s="4">
        <v>0</v>
      </c>
      <c r="AO576" s="4">
        <v>0</v>
      </c>
      <c r="AP576" s="3" t="s">
        <v>58</v>
      </c>
      <c r="AQ576" s="3" t="s">
        <v>115</v>
      </c>
      <c r="AR576" s="6" t="str">
        <f>HYPERLINK("http://catalog.hathitrust.org/Record/000152223","HathiTrust Record")</f>
        <v>HathiTrust Record</v>
      </c>
      <c r="AS576" s="6" t="str">
        <f>HYPERLINK("https://creighton-primo.hosted.exlibrisgroup.com/primo-explore/search?tab=default_tab&amp;search_scope=EVERYTHING&amp;vid=01CRU&amp;lang=en_US&amp;offset=0&amp;query=any,contains,991000748129702656","Catalog Record")</f>
        <v>Catalog Record</v>
      </c>
      <c r="AT576" s="6" t="str">
        <f>HYPERLINK("http://www.worldcat.org/oclc/9683943","WorldCat Record")</f>
        <v>WorldCat Record</v>
      </c>
    </row>
    <row r="577" spans="1:46" ht="40.5" customHeight="1" x14ac:dyDescent="0.25">
      <c r="A577" s="8" t="s">
        <v>58</v>
      </c>
      <c r="B577" s="2" t="s">
        <v>4207</v>
      </c>
      <c r="C577" s="2" t="s">
        <v>4208</v>
      </c>
      <c r="D577" s="2" t="s">
        <v>4209</v>
      </c>
      <c r="F577" s="3" t="s">
        <v>58</v>
      </c>
      <c r="G577" s="3" t="s">
        <v>59</v>
      </c>
      <c r="H577" s="3" t="s">
        <v>58</v>
      </c>
      <c r="I577" s="3" t="s">
        <v>115</v>
      </c>
      <c r="J577" s="3" t="s">
        <v>59</v>
      </c>
      <c r="L577" s="2" t="s">
        <v>4210</v>
      </c>
      <c r="M577" s="3" t="s">
        <v>1925</v>
      </c>
      <c r="N577" s="2" t="s">
        <v>1893</v>
      </c>
      <c r="O577" s="3" t="s">
        <v>64</v>
      </c>
      <c r="P577" s="3" t="s">
        <v>65</v>
      </c>
      <c r="R577" s="3" t="s">
        <v>1346</v>
      </c>
      <c r="S577" s="4">
        <v>5</v>
      </c>
      <c r="T577" s="4">
        <v>5</v>
      </c>
      <c r="U577" s="5" t="s">
        <v>4211</v>
      </c>
      <c r="V577" s="5" t="s">
        <v>4211</v>
      </c>
      <c r="W577" s="5" t="s">
        <v>3566</v>
      </c>
      <c r="X577" s="5" t="s">
        <v>3566</v>
      </c>
      <c r="Y577" s="4">
        <v>290</v>
      </c>
      <c r="Z577" s="4">
        <v>235</v>
      </c>
      <c r="AA577" s="4">
        <v>809</v>
      </c>
      <c r="AB577" s="4">
        <v>1</v>
      </c>
      <c r="AC577" s="4">
        <v>4</v>
      </c>
      <c r="AD577" s="4">
        <v>7</v>
      </c>
      <c r="AE577" s="4">
        <v>19</v>
      </c>
      <c r="AF577" s="4">
        <v>3</v>
      </c>
      <c r="AG577" s="4">
        <v>8</v>
      </c>
      <c r="AH577" s="4">
        <v>2</v>
      </c>
      <c r="AI577" s="4">
        <v>4</v>
      </c>
      <c r="AJ577" s="4">
        <v>2</v>
      </c>
      <c r="AK577" s="4">
        <v>7</v>
      </c>
      <c r="AL577" s="4">
        <v>0</v>
      </c>
      <c r="AM577" s="4">
        <v>2</v>
      </c>
      <c r="AN577" s="4">
        <v>0</v>
      </c>
      <c r="AO577" s="4">
        <v>1</v>
      </c>
      <c r="AP577" s="3" t="s">
        <v>58</v>
      </c>
      <c r="AQ577" s="3" t="s">
        <v>115</v>
      </c>
      <c r="AR577" s="6" t="str">
        <f>HYPERLINK("http://catalog.hathitrust.org/Record/004250759","HathiTrust Record")</f>
        <v>HathiTrust Record</v>
      </c>
      <c r="AS577" s="6" t="str">
        <f>HYPERLINK("https://creighton-primo.hosted.exlibrisgroup.com/primo-explore/search?tab=default_tab&amp;search_scope=EVERYTHING&amp;vid=01CRU&amp;lang=en_US&amp;offset=0&amp;query=any,contains,991000333899702656","Catalog Record")</f>
        <v>Catalog Record</v>
      </c>
      <c r="AT577" s="6" t="str">
        <f>HYPERLINK("http://www.worldcat.org/oclc/48177200","WorldCat Record")</f>
        <v>WorldCat Record</v>
      </c>
    </row>
    <row r="578" spans="1:46" ht="40.5" customHeight="1" x14ac:dyDescent="0.25">
      <c r="A578" s="8" t="s">
        <v>58</v>
      </c>
      <c r="B578" s="2" t="s">
        <v>4212</v>
      </c>
      <c r="C578" s="2" t="s">
        <v>4213</v>
      </c>
      <c r="D578" s="2" t="s">
        <v>4214</v>
      </c>
      <c r="F578" s="3" t="s">
        <v>58</v>
      </c>
      <c r="G578" s="3" t="s">
        <v>59</v>
      </c>
      <c r="H578" s="3" t="s">
        <v>58</v>
      </c>
      <c r="I578" s="3" t="s">
        <v>58</v>
      </c>
      <c r="J578" s="3" t="s">
        <v>60</v>
      </c>
      <c r="K578" s="2" t="s">
        <v>4215</v>
      </c>
      <c r="L578" s="2" t="s">
        <v>4216</v>
      </c>
      <c r="M578" s="3" t="s">
        <v>424</v>
      </c>
      <c r="N578" s="2" t="s">
        <v>936</v>
      </c>
      <c r="O578" s="3" t="s">
        <v>64</v>
      </c>
      <c r="P578" s="3" t="s">
        <v>65</v>
      </c>
      <c r="R578" s="3" t="s">
        <v>1346</v>
      </c>
      <c r="S578" s="4">
        <v>1</v>
      </c>
      <c r="T578" s="4">
        <v>1</v>
      </c>
      <c r="U578" s="5" t="s">
        <v>4217</v>
      </c>
      <c r="V578" s="5" t="s">
        <v>4217</v>
      </c>
      <c r="W578" s="5" t="s">
        <v>4218</v>
      </c>
      <c r="X578" s="5" t="s">
        <v>4218</v>
      </c>
      <c r="Y578" s="4">
        <v>192</v>
      </c>
      <c r="Z578" s="4">
        <v>128</v>
      </c>
      <c r="AA578" s="4">
        <v>257</v>
      </c>
      <c r="AB578" s="4">
        <v>1</v>
      </c>
      <c r="AC578" s="4">
        <v>1</v>
      </c>
      <c r="AD578" s="4">
        <v>3</v>
      </c>
      <c r="AE578" s="4">
        <v>7</v>
      </c>
      <c r="AF578" s="4">
        <v>2</v>
      </c>
      <c r="AG578" s="4">
        <v>4</v>
      </c>
      <c r="AH578" s="4">
        <v>1</v>
      </c>
      <c r="AI578" s="4">
        <v>3</v>
      </c>
      <c r="AJ578" s="4">
        <v>0</v>
      </c>
      <c r="AK578" s="4">
        <v>1</v>
      </c>
      <c r="AL578" s="4">
        <v>0</v>
      </c>
      <c r="AM578" s="4">
        <v>0</v>
      </c>
      <c r="AN578" s="4">
        <v>0</v>
      </c>
      <c r="AO578" s="4">
        <v>0</v>
      </c>
      <c r="AP578" s="3" t="s">
        <v>58</v>
      </c>
      <c r="AQ578" s="3" t="s">
        <v>58</v>
      </c>
      <c r="AS578" s="6" t="str">
        <f>HYPERLINK("https://creighton-primo.hosted.exlibrisgroup.com/primo-explore/search?tab=default_tab&amp;search_scope=EVERYTHING&amp;vid=01CRU&amp;lang=en_US&amp;offset=0&amp;query=any,contains,991000320899702656","Catalog Record")</f>
        <v>Catalog Record</v>
      </c>
      <c r="AT578" s="6" t="str">
        <f>HYPERLINK("http://www.worldcat.org/oclc/28965101","WorldCat Record")</f>
        <v>WorldCat Record</v>
      </c>
    </row>
    <row r="579" spans="1:46" ht="40.5" customHeight="1" x14ac:dyDescent="0.25">
      <c r="A579" s="8" t="s">
        <v>58</v>
      </c>
      <c r="B579" s="2" t="s">
        <v>4219</v>
      </c>
      <c r="C579" s="2" t="s">
        <v>4220</v>
      </c>
      <c r="D579" s="2" t="s">
        <v>4221</v>
      </c>
      <c r="F579" s="3" t="s">
        <v>58</v>
      </c>
      <c r="G579" s="3" t="s">
        <v>59</v>
      </c>
      <c r="H579" s="3" t="s">
        <v>58</v>
      </c>
      <c r="I579" s="3" t="s">
        <v>58</v>
      </c>
      <c r="J579" s="3" t="s">
        <v>60</v>
      </c>
      <c r="K579" s="2" t="s">
        <v>4222</v>
      </c>
      <c r="L579" s="2" t="s">
        <v>4223</v>
      </c>
      <c r="M579" s="3" t="s">
        <v>993</v>
      </c>
      <c r="O579" s="3" t="s">
        <v>64</v>
      </c>
      <c r="P579" s="3" t="s">
        <v>112</v>
      </c>
      <c r="Q579" s="2" t="s">
        <v>4224</v>
      </c>
      <c r="R579" s="3" t="s">
        <v>1346</v>
      </c>
      <c r="S579" s="4">
        <v>5</v>
      </c>
      <c r="T579" s="4">
        <v>5</v>
      </c>
      <c r="U579" s="5" t="s">
        <v>4225</v>
      </c>
      <c r="V579" s="5" t="s">
        <v>4225</v>
      </c>
      <c r="W579" s="5" t="s">
        <v>4226</v>
      </c>
      <c r="X579" s="5" t="s">
        <v>4226</v>
      </c>
      <c r="Y579" s="4">
        <v>164</v>
      </c>
      <c r="Z579" s="4">
        <v>97</v>
      </c>
      <c r="AA579" s="4">
        <v>148</v>
      </c>
      <c r="AB579" s="4">
        <v>1</v>
      </c>
      <c r="AC579" s="4">
        <v>1</v>
      </c>
      <c r="AD579" s="4">
        <v>1</v>
      </c>
      <c r="AE579" s="4">
        <v>3</v>
      </c>
      <c r="AF579" s="4">
        <v>0</v>
      </c>
      <c r="AG579" s="4">
        <v>1</v>
      </c>
      <c r="AH579" s="4">
        <v>1</v>
      </c>
      <c r="AI579" s="4">
        <v>2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3" t="s">
        <v>58</v>
      </c>
      <c r="AQ579" s="3" t="s">
        <v>58</v>
      </c>
      <c r="AS579" s="6" t="str">
        <f>HYPERLINK("https://creighton-primo.hosted.exlibrisgroup.com/primo-explore/search?tab=default_tab&amp;search_scope=EVERYTHING&amp;vid=01CRU&amp;lang=en_US&amp;offset=0&amp;query=any,contains,991001565289702656","Catalog Record")</f>
        <v>Catalog Record</v>
      </c>
      <c r="AT579" s="6" t="str">
        <f>HYPERLINK("http://www.worldcat.org/oclc/47013533","WorldCat Record")</f>
        <v>WorldCat Record</v>
      </c>
    </row>
    <row r="580" spans="1:46" ht="40.5" customHeight="1" x14ac:dyDescent="0.25">
      <c r="A580" s="8" t="s">
        <v>58</v>
      </c>
      <c r="B580" s="2" t="s">
        <v>4227</v>
      </c>
      <c r="C580" s="2" t="s">
        <v>4228</v>
      </c>
      <c r="D580" s="2" t="s">
        <v>4229</v>
      </c>
      <c r="F580" s="3" t="s">
        <v>58</v>
      </c>
      <c r="G580" s="3" t="s">
        <v>59</v>
      </c>
      <c r="H580" s="3" t="s">
        <v>58</v>
      </c>
      <c r="I580" s="3" t="s">
        <v>58</v>
      </c>
      <c r="J580" s="3" t="s">
        <v>60</v>
      </c>
      <c r="K580" s="2" t="s">
        <v>4230</v>
      </c>
      <c r="L580" s="2" t="s">
        <v>4231</v>
      </c>
      <c r="M580" s="3" t="s">
        <v>235</v>
      </c>
      <c r="N580" s="2" t="s">
        <v>4232</v>
      </c>
      <c r="O580" s="3" t="s">
        <v>64</v>
      </c>
      <c r="P580" s="3" t="s">
        <v>144</v>
      </c>
      <c r="R580" s="3" t="s">
        <v>1346</v>
      </c>
      <c r="S580" s="4">
        <v>7</v>
      </c>
      <c r="T580" s="4">
        <v>7</v>
      </c>
      <c r="U580" s="5" t="s">
        <v>4233</v>
      </c>
      <c r="V580" s="5" t="s">
        <v>4233</v>
      </c>
      <c r="W580" s="5" t="s">
        <v>4178</v>
      </c>
      <c r="X580" s="5" t="s">
        <v>4178</v>
      </c>
      <c r="Y580" s="4">
        <v>375</v>
      </c>
      <c r="Z580" s="4">
        <v>299</v>
      </c>
      <c r="AA580" s="4">
        <v>437</v>
      </c>
      <c r="AB580" s="4">
        <v>1</v>
      </c>
      <c r="AC580" s="4">
        <v>1</v>
      </c>
      <c r="AD580" s="4">
        <v>8</v>
      </c>
      <c r="AE580" s="4">
        <v>9</v>
      </c>
      <c r="AF580" s="4">
        <v>1</v>
      </c>
      <c r="AG580" s="4">
        <v>1</v>
      </c>
      <c r="AH580" s="4">
        <v>4</v>
      </c>
      <c r="AI580" s="4">
        <v>4</v>
      </c>
      <c r="AJ580" s="4">
        <v>5</v>
      </c>
      <c r="AK580" s="4">
        <v>6</v>
      </c>
      <c r="AL580" s="4">
        <v>0</v>
      </c>
      <c r="AM580" s="4">
        <v>0</v>
      </c>
      <c r="AN580" s="4">
        <v>0</v>
      </c>
      <c r="AO580" s="4">
        <v>0</v>
      </c>
      <c r="AP580" s="3" t="s">
        <v>58</v>
      </c>
      <c r="AQ580" s="3" t="s">
        <v>115</v>
      </c>
      <c r="AR580" s="6" t="str">
        <f>HYPERLINK("http://catalog.hathitrust.org/Record/000137169","HathiTrust Record")</f>
        <v>HathiTrust Record</v>
      </c>
      <c r="AS580" s="6" t="str">
        <f>HYPERLINK("https://creighton-primo.hosted.exlibrisgroup.com/primo-explore/search?tab=default_tab&amp;search_scope=EVERYTHING&amp;vid=01CRU&amp;lang=en_US&amp;offset=0&amp;query=any,contains,991000962759702656","Catalog Record")</f>
        <v>Catalog Record</v>
      </c>
      <c r="AT580" s="6" t="str">
        <f>HYPERLINK("http://www.worldcat.org/oclc/3892709","WorldCat Record")</f>
        <v>WorldCat Record</v>
      </c>
    </row>
    <row r="581" spans="1:46" ht="40.5" customHeight="1" x14ac:dyDescent="0.25">
      <c r="A581" s="8" t="s">
        <v>58</v>
      </c>
      <c r="B581" s="2" t="s">
        <v>4234</v>
      </c>
      <c r="C581" s="2" t="s">
        <v>4235</v>
      </c>
      <c r="D581" s="2" t="s">
        <v>4236</v>
      </c>
      <c r="F581" s="3" t="s">
        <v>58</v>
      </c>
      <c r="G581" s="3" t="s">
        <v>59</v>
      </c>
      <c r="H581" s="3" t="s">
        <v>58</v>
      </c>
      <c r="I581" s="3" t="s">
        <v>58</v>
      </c>
      <c r="J581" s="3" t="s">
        <v>60</v>
      </c>
      <c r="K581" s="2" t="s">
        <v>4237</v>
      </c>
      <c r="L581" s="2" t="s">
        <v>4238</v>
      </c>
      <c r="M581" s="3" t="s">
        <v>111</v>
      </c>
      <c r="N581" s="2" t="s">
        <v>936</v>
      </c>
      <c r="O581" s="3" t="s">
        <v>64</v>
      </c>
      <c r="P581" s="3" t="s">
        <v>2755</v>
      </c>
      <c r="R581" s="3" t="s">
        <v>1346</v>
      </c>
      <c r="S581" s="4">
        <v>3</v>
      </c>
      <c r="T581" s="4">
        <v>3</v>
      </c>
      <c r="U581" s="5" t="s">
        <v>4239</v>
      </c>
      <c r="V581" s="5" t="s">
        <v>4239</v>
      </c>
      <c r="W581" s="5" t="s">
        <v>4240</v>
      </c>
      <c r="X581" s="5" t="s">
        <v>4240</v>
      </c>
      <c r="Y581" s="4">
        <v>129</v>
      </c>
      <c r="Z581" s="4">
        <v>75</v>
      </c>
      <c r="AA581" s="4">
        <v>157</v>
      </c>
      <c r="AB581" s="4">
        <v>2</v>
      </c>
      <c r="AC581" s="4">
        <v>2</v>
      </c>
      <c r="AD581" s="4">
        <v>1</v>
      </c>
      <c r="AE581" s="4">
        <v>1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1</v>
      </c>
      <c r="AM581" s="4">
        <v>1</v>
      </c>
      <c r="AN581" s="4">
        <v>0</v>
      </c>
      <c r="AO581" s="4">
        <v>0</v>
      </c>
      <c r="AP581" s="3" t="s">
        <v>58</v>
      </c>
      <c r="AQ581" s="3" t="s">
        <v>115</v>
      </c>
      <c r="AR581" s="6" t="str">
        <f>HYPERLINK("http://catalog.hathitrust.org/Record/000039152","HathiTrust Record")</f>
        <v>HathiTrust Record</v>
      </c>
      <c r="AS581" s="6" t="str">
        <f>HYPERLINK("https://creighton-primo.hosted.exlibrisgroup.com/primo-explore/search?tab=default_tab&amp;search_scope=EVERYTHING&amp;vid=01CRU&amp;lang=en_US&amp;offset=0&amp;query=any,contains,991000962819702656","Catalog Record")</f>
        <v>Catalog Record</v>
      </c>
      <c r="AT581" s="6" t="str">
        <f>HYPERLINK("http://www.worldcat.org/oclc/1157661","WorldCat Record")</f>
        <v>WorldCat Record</v>
      </c>
    </row>
    <row r="582" spans="1:46" ht="40.5" customHeight="1" x14ac:dyDescent="0.25">
      <c r="A582" s="8" t="s">
        <v>58</v>
      </c>
      <c r="B582" s="2" t="s">
        <v>4241</v>
      </c>
      <c r="C582" s="2" t="s">
        <v>4242</v>
      </c>
      <c r="D582" s="2" t="s">
        <v>4243</v>
      </c>
      <c r="F582" s="3" t="s">
        <v>58</v>
      </c>
      <c r="G582" s="3" t="s">
        <v>59</v>
      </c>
      <c r="H582" s="3" t="s">
        <v>58</v>
      </c>
      <c r="I582" s="3" t="s">
        <v>58</v>
      </c>
      <c r="J582" s="3" t="s">
        <v>60</v>
      </c>
      <c r="L582" s="2" t="s">
        <v>4244</v>
      </c>
      <c r="M582" s="3" t="s">
        <v>365</v>
      </c>
      <c r="N582" s="2" t="s">
        <v>143</v>
      </c>
      <c r="O582" s="3" t="s">
        <v>64</v>
      </c>
      <c r="P582" s="3" t="s">
        <v>643</v>
      </c>
      <c r="R582" s="3" t="s">
        <v>1346</v>
      </c>
      <c r="S582" s="4">
        <v>17</v>
      </c>
      <c r="T582" s="4">
        <v>17</v>
      </c>
      <c r="U582" s="5" t="s">
        <v>4245</v>
      </c>
      <c r="V582" s="5" t="s">
        <v>4245</v>
      </c>
      <c r="W582" s="5" t="s">
        <v>1587</v>
      </c>
      <c r="X582" s="5" t="s">
        <v>1587</v>
      </c>
      <c r="Y582" s="4">
        <v>341</v>
      </c>
      <c r="Z582" s="4">
        <v>268</v>
      </c>
      <c r="AA582" s="4">
        <v>274</v>
      </c>
      <c r="AB582" s="4">
        <v>2</v>
      </c>
      <c r="AC582" s="4">
        <v>2</v>
      </c>
      <c r="AD582" s="4">
        <v>4</v>
      </c>
      <c r="AE582" s="4">
        <v>5</v>
      </c>
      <c r="AF582" s="4">
        <v>1</v>
      </c>
      <c r="AG582" s="4">
        <v>1</v>
      </c>
      <c r="AH582" s="4">
        <v>3</v>
      </c>
      <c r="AI582" s="4">
        <v>4</v>
      </c>
      <c r="AJ582" s="4">
        <v>1</v>
      </c>
      <c r="AK582" s="4">
        <v>2</v>
      </c>
      <c r="AL582" s="4">
        <v>0</v>
      </c>
      <c r="AM582" s="4">
        <v>0</v>
      </c>
      <c r="AN582" s="4">
        <v>0</v>
      </c>
      <c r="AO582" s="4">
        <v>0</v>
      </c>
      <c r="AP582" s="3" t="s">
        <v>58</v>
      </c>
      <c r="AQ582" s="3" t="s">
        <v>58</v>
      </c>
      <c r="AS582" s="6" t="str">
        <f>HYPERLINK("https://creighton-primo.hosted.exlibrisgroup.com/primo-explore/search?tab=default_tab&amp;search_scope=EVERYTHING&amp;vid=01CRU&amp;lang=en_US&amp;offset=0&amp;query=any,contains,991000838819702656","Catalog Record")</f>
        <v>Catalog Record</v>
      </c>
      <c r="AT582" s="6" t="str">
        <f>HYPERLINK("http://www.worldcat.org/oclc/34471102","WorldCat Record")</f>
        <v>WorldCat Record</v>
      </c>
    </row>
    <row r="583" spans="1:46" ht="40.5" customHeight="1" x14ac:dyDescent="0.25">
      <c r="A583" s="8" t="s">
        <v>58</v>
      </c>
      <c r="B583" s="2" t="s">
        <v>4246</v>
      </c>
      <c r="C583" s="2" t="s">
        <v>4247</v>
      </c>
      <c r="D583" s="2" t="s">
        <v>4248</v>
      </c>
      <c r="F583" s="3" t="s">
        <v>58</v>
      </c>
      <c r="G583" s="3" t="s">
        <v>59</v>
      </c>
      <c r="H583" s="3" t="s">
        <v>58</v>
      </c>
      <c r="I583" s="3" t="s">
        <v>58</v>
      </c>
      <c r="J583" s="3" t="s">
        <v>60</v>
      </c>
      <c r="K583" s="2" t="s">
        <v>4249</v>
      </c>
      <c r="L583" s="2" t="s">
        <v>3850</v>
      </c>
      <c r="M583" s="3" t="s">
        <v>336</v>
      </c>
      <c r="O583" s="3" t="s">
        <v>64</v>
      </c>
      <c r="P583" s="3" t="s">
        <v>1355</v>
      </c>
      <c r="R583" s="3" t="s">
        <v>1346</v>
      </c>
      <c r="S583" s="4">
        <v>3</v>
      </c>
      <c r="T583" s="4">
        <v>3</v>
      </c>
      <c r="U583" s="5" t="s">
        <v>3910</v>
      </c>
      <c r="V583" s="5" t="s">
        <v>3910</v>
      </c>
      <c r="W583" s="5" t="s">
        <v>3664</v>
      </c>
      <c r="X583" s="5" t="s">
        <v>3664</v>
      </c>
      <c r="Y583" s="4">
        <v>221</v>
      </c>
      <c r="Z583" s="4">
        <v>177</v>
      </c>
      <c r="AA583" s="4">
        <v>186</v>
      </c>
      <c r="AB583" s="4">
        <v>2</v>
      </c>
      <c r="AC583" s="4">
        <v>2</v>
      </c>
      <c r="AD583" s="4">
        <v>4</v>
      </c>
      <c r="AE583" s="4">
        <v>4</v>
      </c>
      <c r="AF583" s="4">
        <v>3</v>
      </c>
      <c r="AG583" s="4">
        <v>3</v>
      </c>
      <c r="AH583" s="4">
        <v>0</v>
      </c>
      <c r="AI583" s="4">
        <v>0</v>
      </c>
      <c r="AJ583" s="4">
        <v>1</v>
      </c>
      <c r="AK583" s="4">
        <v>1</v>
      </c>
      <c r="AL583" s="4">
        <v>1</v>
      </c>
      <c r="AM583" s="4">
        <v>1</v>
      </c>
      <c r="AN583" s="4">
        <v>0</v>
      </c>
      <c r="AO583" s="4">
        <v>0</v>
      </c>
      <c r="AP583" s="3" t="s">
        <v>58</v>
      </c>
      <c r="AQ583" s="3" t="s">
        <v>115</v>
      </c>
      <c r="AR583" s="6" t="str">
        <f>HYPERLINK("http://catalog.hathitrust.org/Record/000101145","HathiTrust Record")</f>
        <v>HathiTrust Record</v>
      </c>
      <c r="AS583" s="6" t="str">
        <f>HYPERLINK("https://creighton-primo.hosted.exlibrisgroup.com/primo-explore/search?tab=default_tab&amp;search_scope=EVERYTHING&amp;vid=01CRU&amp;lang=en_US&amp;offset=0&amp;query=any,contains,991000962709702656","Catalog Record")</f>
        <v>Catalog Record</v>
      </c>
      <c r="AT583" s="6" t="str">
        <f>HYPERLINK("http://www.worldcat.org/oclc/6861807","WorldCat Record")</f>
        <v>WorldCat Record</v>
      </c>
    </row>
    <row r="584" spans="1:46" ht="40.5" customHeight="1" x14ac:dyDescent="0.25">
      <c r="A584" s="8" t="s">
        <v>58</v>
      </c>
      <c r="B584" s="2" t="s">
        <v>4250</v>
      </c>
      <c r="C584" s="2" t="s">
        <v>4251</v>
      </c>
      <c r="D584" s="2" t="s">
        <v>4252</v>
      </c>
      <c r="F584" s="3" t="s">
        <v>58</v>
      </c>
      <c r="G584" s="3" t="s">
        <v>59</v>
      </c>
      <c r="H584" s="3" t="s">
        <v>58</v>
      </c>
      <c r="I584" s="3" t="s">
        <v>58</v>
      </c>
      <c r="J584" s="3" t="s">
        <v>60</v>
      </c>
      <c r="K584" s="2" t="s">
        <v>4253</v>
      </c>
      <c r="L584" s="2" t="s">
        <v>4103</v>
      </c>
      <c r="M584" s="3" t="s">
        <v>336</v>
      </c>
      <c r="O584" s="3" t="s">
        <v>64</v>
      </c>
      <c r="P584" s="3" t="s">
        <v>65</v>
      </c>
      <c r="R584" s="3" t="s">
        <v>1346</v>
      </c>
      <c r="S584" s="4">
        <v>14</v>
      </c>
      <c r="T584" s="4">
        <v>14</v>
      </c>
      <c r="U584" s="5" t="s">
        <v>4254</v>
      </c>
      <c r="V584" s="5" t="s">
        <v>4254</v>
      </c>
      <c r="W584" s="5" t="s">
        <v>4178</v>
      </c>
      <c r="X584" s="5" t="s">
        <v>4178</v>
      </c>
      <c r="Y584" s="4">
        <v>35</v>
      </c>
      <c r="Z584" s="4">
        <v>29</v>
      </c>
      <c r="AA584" s="4">
        <v>29</v>
      </c>
      <c r="AB584" s="4">
        <v>1</v>
      </c>
      <c r="AC584" s="4">
        <v>1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3" t="s">
        <v>58</v>
      </c>
      <c r="AQ584" s="3" t="s">
        <v>58</v>
      </c>
      <c r="AS584" s="6" t="str">
        <f>HYPERLINK("https://creighton-primo.hosted.exlibrisgroup.com/primo-explore/search?tab=default_tab&amp;search_scope=EVERYTHING&amp;vid=01CRU&amp;lang=en_US&amp;offset=0&amp;query=any,contains,991000962669702656","Catalog Record")</f>
        <v>Catalog Record</v>
      </c>
      <c r="AT584" s="6" t="str">
        <f>HYPERLINK("http://www.worldcat.org/oclc/7554508","WorldCat Record")</f>
        <v>WorldCat Record</v>
      </c>
    </row>
    <row r="585" spans="1:46" ht="40.5" customHeight="1" x14ac:dyDescent="0.25">
      <c r="A585" s="8" t="s">
        <v>58</v>
      </c>
      <c r="B585" s="2" t="s">
        <v>4255</v>
      </c>
      <c r="C585" s="2" t="s">
        <v>4256</v>
      </c>
      <c r="D585" s="2" t="s">
        <v>4257</v>
      </c>
      <c r="F585" s="3" t="s">
        <v>58</v>
      </c>
      <c r="G585" s="3" t="s">
        <v>59</v>
      </c>
      <c r="H585" s="3" t="s">
        <v>58</v>
      </c>
      <c r="I585" s="3" t="s">
        <v>58</v>
      </c>
      <c r="J585" s="3" t="s">
        <v>60</v>
      </c>
      <c r="L585" s="2" t="s">
        <v>4258</v>
      </c>
      <c r="M585" s="3" t="s">
        <v>1392</v>
      </c>
      <c r="O585" s="3" t="s">
        <v>64</v>
      </c>
      <c r="P585" s="3" t="s">
        <v>643</v>
      </c>
      <c r="R585" s="3" t="s">
        <v>1346</v>
      </c>
      <c r="S585" s="4">
        <v>7</v>
      </c>
      <c r="T585" s="4">
        <v>7</v>
      </c>
      <c r="U585" s="5" t="s">
        <v>3513</v>
      </c>
      <c r="V585" s="5" t="s">
        <v>3513</v>
      </c>
      <c r="W585" s="5" t="s">
        <v>3664</v>
      </c>
      <c r="X585" s="5" t="s">
        <v>3664</v>
      </c>
      <c r="Y585" s="4">
        <v>180</v>
      </c>
      <c r="Z585" s="4">
        <v>162</v>
      </c>
      <c r="AA585" s="4">
        <v>167</v>
      </c>
      <c r="AB585" s="4">
        <v>2</v>
      </c>
      <c r="AC585" s="4">
        <v>2</v>
      </c>
      <c r="AD585" s="4">
        <v>3</v>
      </c>
      <c r="AE585" s="4">
        <v>3</v>
      </c>
      <c r="AF585" s="4">
        <v>1</v>
      </c>
      <c r="AG585" s="4">
        <v>1</v>
      </c>
      <c r="AH585" s="4">
        <v>1</v>
      </c>
      <c r="AI585" s="4">
        <v>1</v>
      </c>
      <c r="AJ585" s="4">
        <v>2</v>
      </c>
      <c r="AK585" s="4">
        <v>2</v>
      </c>
      <c r="AL585" s="4">
        <v>1</v>
      </c>
      <c r="AM585" s="4">
        <v>1</v>
      </c>
      <c r="AN585" s="4">
        <v>0</v>
      </c>
      <c r="AO585" s="4">
        <v>0</v>
      </c>
      <c r="AP585" s="3" t="s">
        <v>58</v>
      </c>
      <c r="AQ585" s="3" t="s">
        <v>58</v>
      </c>
      <c r="AS585" s="6" t="str">
        <f>HYPERLINK("https://creighton-primo.hosted.exlibrisgroup.com/primo-explore/search?tab=default_tab&amp;search_scope=EVERYTHING&amp;vid=01CRU&amp;lang=en_US&amp;offset=0&amp;query=any,contains,991000962639702656","Catalog Record")</f>
        <v>Catalog Record</v>
      </c>
      <c r="AT585" s="6" t="str">
        <f>HYPERLINK("http://www.worldcat.org/oclc/8667547","WorldCat Record")</f>
        <v>WorldCat Record</v>
      </c>
    </row>
    <row r="586" spans="1:46" ht="40.5" customHeight="1" x14ac:dyDescent="0.25">
      <c r="A586" s="8" t="s">
        <v>58</v>
      </c>
      <c r="B586" s="2" t="s">
        <v>4259</v>
      </c>
      <c r="C586" s="2" t="s">
        <v>4260</v>
      </c>
      <c r="D586" s="2" t="s">
        <v>4261</v>
      </c>
      <c r="F586" s="3" t="s">
        <v>58</v>
      </c>
      <c r="G586" s="3" t="s">
        <v>59</v>
      </c>
      <c r="H586" s="3" t="s">
        <v>58</v>
      </c>
      <c r="I586" s="3" t="s">
        <v>115</v>
      </c>
      <c r="J586" s="3" t="s">
        <v>59</v>
      </c>
      <c r="L586" s="2" t="s">
        <v>4262</v>
      </c>
      <c r="M586" s="3" t="s">
        <v>1122</v>
      </c>
      <c r="O586" s="3" t="s">
        <v>64</v>
      </c>
      <c r="P586" s="3" t="s">
        <v>1374</v>
      </c>
      <c r="Q586" s="2" t="s">
        <v>4263</v>
      </c>
      <c r="R586" s="3" t="s">
        <v>1346</v>
      </c>
      <c r="S586" s="4">
        <v>14</v>
      </c>
      <c r="T586" s="4">
        <v>14</v>
      </c>
      <c r="U586" s="5" t="s">
        <v>2565</v>
      </c>
      <c r="V586" s="5" t="s">
        <v>2565</v>
      </c>
      <c r="W586" s="5" t="s">
        <v>4264</v>
      </c>
      <c r="X586" s="5" t="s">
        <v>4264</v>
      </c>
      <c r="Y586" s="4">
        <v>118</v>
      </c>
      <c r="Z586" s="4">
        <v>97</v>
      </c>
      <c r="AA586" s="4">
        <v>988</v>
      </c>
      <c r="AB586" s="4">
        <v>1</v>
      </c>
      <c r="AC586" s="4">
        <v>9</v>
      </c>
      <c r="AD586" s="4">
        <v>0</v>
      </c>
      <c r="AE586" s="4">
        <v>36</v>
      </c>
      <c r="AF586" s="4">
        <v>0</v>
      </c>
      <c r="AG586" s="4">
        <v>10</v>
      </c>
      <c r="AH586" s="4">
        <v>0</v>
      </c>
      <c r="AI586" s="4">
        <v>7</v>
      </c>
      <c r="AJ586" s="4">
        <v>0</v>
      </c>
      <c r="AK586" s="4">
        <v>12</v>
      </c>
      <c r="AL586" s="4">
        <v>0</v>
      </c>
      <c r="AM586" s="4">
        <v>7</v>
      </c>
      <c r="AN586" s="4">
        <v>0</v>
      </c>
      <c r="AO586" s="4">
        <v>4</v>
      </c>
      <c r="AP586" s="3" t="s">
        <v>58</v>
      </c>
      <c r="AQ586" s="3" t="s">
        <v>58</v>
      </c>
      <c r="AS586" s="6" t="str">
        <f>HYPERLINK("https://creighton-primo.hosted.exlibrisgroup.com/primo-explore/search?tab=default_tab&amp;search_scope=EVERYTHING&amp;vid=01CRU&amp;lang=en_US&amp;offset=0&amp;query=any,contains,991000781099702656","Catalog Record")</f>
        <v>Catalog Record</v>
      </c>
      <c r="AT586" s="6" t="str">
        <f>HYPERLINK("http://www.worldcat.org/oclc/26318597","WorldCat Record")</f>
        <v>WorldCat Record</v>
      </c>
    </row>
    <row r="587" spans="1:46" ht="40.5" customHeight="1" x14ac:dyDescent="0.25">
      <c r="A587" s="8" t="s">
        <v>58</v>
      </c>
      <c r="B587" s="2" t="s">
        <v>4265</v>
      </c>
      <c r="C587" s="2" t="s">
        <v>4266</v>
      </c>
      <c r="D587" s="2" t="s">
        <v>4267</v>
      </c>
      <c r="F587" s="3" t="s">
        <v>58</v>
      </c>
      <c r="G587" s="3" t="s">
        <v>59</v>
      </c>
      <c r="H587" s="3" t="s">
        <v>58</v>
      </c>
      <c r="I587" s="3" t="s">
        <v>58</v>
      </c>
      <c r="J587" s="3" t="s">
        <v>60</v>
      </c>
      <c r="L587" s="2" t="s">
        <v>4268</v>
      </c>
      <c r="M587" s="3" t="s">
        <v>95</v>
      </c>
      <c r="N587" s="2" t="s">
        <v>221</v>
      </c>
      <c r="O587" s="3" t="s">
        <v>64</v>
      </c>
      <c r="P587" s="3" t="s">
        <v>144</v>
      </c>
      <c r="R587" s="3" t="s">
        <v>1346</v>
      </c>
      <c r="S587" s="4">
        <v>3</v>
      </c>
      <c r="T587" s="4">
        <v>3</v>
      </c>
      <c r="U587" s="5" t="s">
        <v>4269</v>
      </c>
      <c r="V587" s="5" t="s">
        <v>4269</v>
      </c>
      <c r="W587" s="5" t="s">
        <v>4270</v>
      </c>
      <c r="X587" s="5" t="s">
        <v>4270</v>
      </c>
      <c r="Y587" s="4">
        <v>242</v>
      </c>
      <c r="Z587" s="4">
        <v>153</v>
      </c>
      <c r="AA587" s="4">
        <v>503</v>
      </c>
      <c r="AB587" s="4">
        <v>1</v>
      </c>
      <c r="AC587" s="4">
        <v>1</v>
      </c>
      <c r="AD587" s="4">
        <v>6</v>
      </c>
      <c r="AE587" s="4">
        <v>14</v>
      </c>
      <c r="AF587" s="4">
        <v>3</v>
      </c>
      <c r="AG587" s="4">
        <v>7</v>
      </c>
      <c r="AH587" s="4">
        <v>3</v>
      </c>
      <c r="AI587" s="4">
        <v>5</v>
      </c>
      <c r="AJ587" s="4">
        <v>1</v>
      </c>
      <c r="AK587" s="4">
        <v>4</v>
      </c>
      <c r="AL587" s="4">
        <v>0</v>
      </c>
      <c r="AM587" s="4">
        <v>0</v>
      </c>
      <c r="AN587" s="4">
        <v>0</v>
      </c>
      <c r="AO587" s="4">
        <v>0</v>
      </c>
      <c r="AP587" s="3" t="s">
        <v>58</v>
      </c>
      <c r="AQ587" s="3" t="s">
        <v>58</v>
      </c>
      <c r="AS587" s="6" t="str">
        <f>HYPERLINK("https://creighton-primo.hosted.exlibrisgroup.com/primo-explore/search?tab=default_tab&amp;search_scope=EVERYTHING&amp;vid=01CRU&amp;lang=en_US&amp;offset=0&amp;query=any,contains,991000344709702656","Catalog Record")</f>
        <v>Catalog Record</v>
      </c>
      <c r="AT587" s="6" t="str">
        <f>HYPERLINK("http://www.worldcat.org/oclc/43800997","WorldCat Record")</f>
        <v>WorldCat Record</v>
      </c>
    </row>
    <row r="588" spans="1:46" ht="40.5" customHeight="1" x14ac:dyDescent="0.25">
      <c r="A588" s="8" t="s">
        <v>58</v>
      </c>
      <c r="B588" s="2" t="s">
        <v>4271</v>
      </c>
      <c r="C588" s="2" t="s">
        <v>4272</v>
      </c>
      <c r="D588" s="2" t="s">
        <v>4273</v>
      </c>
      <c r="F588" s="3" t="s">
        <v>58</v>
      </c>
      <c r="G588" s="3" t="s">
        <v>59</v>
      </c>
      <c r="H588" s="3" t="s">
        <v>58</v>
      </c>
      <c r="I588" s="3" t="s">
        <v>58</v>
      </c>
      <c r="J588" s="3" t="s">
        <v>60</v>
      </c>
      <c r="L588" s="2" t="s">
        <v>4274</v>
      </c>
      <c r="M588" s="3" t="s">
        <v>1414</v>
      </c>
      <c r="O588" s="3" t="s">
        <v>64</v>
      </c>
      <c r="P588" s="3" t="s">
        <v>65</v>
      </c>
      <c r="Q588" s="2" t="s">
        <v>4275</v>
      </c>
      <c r="R588" s="3" t="s">
        <v>1346</v>
      </c>
      <c r="S588" s="4">
        <v>4</v>
      </c>
      <c r="T588" s="4">
        <v>4</v>
      </c>
      <c r="U588" s="5" t="s">
        <v>4276</v>
      </c>
      <c r="V588" s="5" t="s">
        <v>4276</v>
      </c>
      <c r="W588" s="5" t="s">
        <v>3664</v>
      </c>
      <c r="X588" s="5" t="s">
        <v>3664</v>
      </c>
      <c r="Y588" s="4">
        <v>136</v>
      </c>
      <c r="Z588" s="4">
        <v>105</v>
      </c>
      <c r="AA588" s="4">
        <v>129</v>
      </c>
      <c r="AB588" s="4">
        <v>2</v>
      </c>
      <c r="AC588" s="4">
        <v>2</v>
      </c>
      <c r="AD588" s="4">
        <v>1</v>
      </c>
      <c r="AE588" s="4">
        <v>2</v>
      </c>
      <c r="AF588" s="4">
        <v>0</v>
      </c>
      <c r="AG588" s="4">
        <v>1</v>
      </c>
      <c r="AH588" s="4">
        <v>0</v>
      </c>
      <c r="AI588" s="4">
        <v>0</v>
      </c>
      <c r="AJ588" s="4">
        <v>0</v>
      </c>
      <c r="AK588" s="4">
        <v>1</v>
      </c>
      <c r="AL588" s="4">
        <v>1</v>
      </c>
      <c r="AM588" s="4">
        <v>1</v>
      </c>
      <c r="AN588" s="4">
        <v>0</v>
      </c>
      <c r="AO588" s="4">
        <v>0</v>
      </c>
      <c r="AP588" s="3" t="s">
        <v>58</v>
      </c>
      <c r="AQ588" s="3" t="s">
        <v>115</v>
      </c>
      <c r="AR588" s="6" t="str">
        <f>HYPERLINK("http://catalog.hathitrust.org/Record/009479028","HathiTrust Record")</f>
        <v>HathiTrust Record</v>
      </c>
      <c r="AS588" s="6" t="str">
        <f>HYPERLINK("https://creighton-primo.hosted.exlibrisgroup.com/primo-explore/search?tab=default_tab&amp;search_scope=EVERYTHING&amp;vid=01CRU&amp;lang=en_US&amp;offset=0&amp;query=any,contains,991000962069702656","Catalog Record")</f>
        <v>Catalog Record</v>
      </c>
      <c r="AT588" s="6" t="str">
        <f>HYPERLINK("http://www.worldcat.org/oclc/9645383","WorldCat Record")</f>
        <v>WorldCat Record</v>
      </c>
    </row>
    <row r="589" spans="1:46" ht="40.5" customHeight="1" x14ac:dyDescent="0.25">
      <c r="A589" s="8" t="s">
        <v>58</v>
      </c>
      <c r="B589" s="2" t="s">
        <v>4277</v>
      </c>
      <c r="C589" s="2" t="s">
        <v>4278</v>
      </c>
      <c r="D589" s="2" t="s">
        <v>4279</v>
      </c>
      <c r="F589" s="3" t="s">
        <v>58</v>
      </c>
      <c r="G589" s="3" t="s">
        <v>59</v>
      </c>
      <c r="H589" s="3" t="s">
        <v>58</v>
      </c>
      <c r="I589" s="3" t="s">
        <v>58</v>
      </c>
      <c r="J589" s="3" t="s">
        <v>60</v>
      </c>
      <c r="K589" s="2" t="s">
        <v>4280</v>
      </c>
      <c r="L589" s="2" t="s">
        <v>4281</v>
      </c>
      <c r="M589" s="3" t="s">
        <v>671</v>
      </c>
      <c r="N589" s="2" t="s">
        <v>1362</v>
      </c>
      <c r="O589" s="3" t="s">
        <v>64</v>
      </c>
      <c r="P589" s="3" t="s">
        <v>144</v>
      </c>
      <c r="R589" s="3" t="s">
        <v>1346</v>
      </c>
      <c r="S589" s="4">
        <v>9</v>
      </c>
      <c r="T589" s="4">
        <v>9</v>
      </c>
      <c r="U589" s="5" t="s">
        <v>2490</v>
      </c>
      <c r="V589" s="5" t="s">
        <v>2490</v>
      </c>
      <c r="W589" s="5" t="s">
        <v>3664</v>
      </c>
      <c r="X589" s="5" t="s">
        <v>3664</v>
      </c>
      <c r="Y589" s="4">
        <v>274</v>
      </c>
      <c r="Z589" s="4">
        <v>210</v>
      </c>
      <c r="AA589" s="4">
        <v>301</v>
      </c>
      <c r="AB589" s="4">
        <v>2</v>
      </c>
      <c r="AC589" s="4">
        <v>4</v>
      </c>
      <c r="AD589" s="4">
        <v>4</v>
      </c>
      <c r="AE589" s="4">
        <v>10</v>
      </c>
      <c r="AF589" s="4">
        <v>0</v>
      </c>
      <c r="AG589" s="4">
        <v>4</v>
      </c>
      <c r="AH589" s="4">
        <v>1</v>
      </c>
      <c r="AI589" s="4">
        <v>2</v>
      </c>
      <c r="AJ589" s="4">
        <v>2</v>
      </c>
      <c r="AK589" s="4">
        <v>4</v>
      </c>
      <c r="AL589" s="4">
        <v>1</v>
      </c>
      <c r="AM589" s="4">
        <v>3</v>
      </c>
      <c r="AN589" s="4">
        <v>0</v>
      </c>
      <c r="AO589" s="4">
        <v>0</v>
      </c>
      <c r="AP589" s="3" t="s">
        <v>58</v>
      </c>
      <c r="AQ589" s="3" t="s">
        <v>115</v>
      </c>
      <c r="AR589" s="6" t="str">
        <f>HYPERLINK("http://catalog.hathitrust.org/Record/001560555","HathiTrust Record")</f>
        <v>HathiTrust Record</v>
      </c>
      <c r="AS589" s="6" t="str">
        <f>HYPERLINK("https://creighton-primo.hosted.exlibrisgroup.com/primo-explore/search?tab=default_tab&amp;search_scope=EVERYTHING&amp;vid=01CRU&amp;lang=en_US&amp;offset=0&amp;query=any,contains,991000962589702656","Catalog Record")</f>
        <v>Catalog Record</v>
      </c>
      <c r="AT589" s="6" t="str">
        <f>HYPERLINK("http://www.worldcat.org/oclc/16210229","WorldCat Record")</f>
        <v>WorldCat Record</v>
      </c>
    </row>
    <row r="590" spans="1:46" ht="40.5" customHeight="1" x14ac:dyDescent="0.25">
      <c r="A590" s="8" t="s">
        <v>58</v>
      </c>
      <c r="B590" s="2" t="s">
        <v>4282</v>
      </c>
      <c r="C590" s="2" t="s">
        <v>4283</v>
      </c>
      <c r="D590" s="2" t="s">
        <v>4284</v>
      </c>
      <c r="F590" s="3" t="s">
        <v>58</v>
      </c>
      <c r="G590" s="3" t="s">
        <v>59</v>
      </c>
      <c r="H590" s="3" t="s">
        <v>58</v>
      </c>
      <c r="I590" s="3" t="s">
        <v>58</v>
      </c>
      <c r="J590" s="3" t="s">
        <v>60</v>
      </c>
      <c r="L590" s="2" t="s">
        <v>4285</v>
      </c>
      <c r="M590" s="3" t="s">
        <v>1414</v>
      </c>
      <c r="O590" s="3" t="s">
        <v>64</v>
      </c>
      <c r="P590" s="3" t="s">
        <v>265</v>
      </c>
      <c r="Q590" s="2" t="s">
        <v>4286</v>
      </c>
      <c r="R590" s="3" t="s">
        <v>1346</v>
      </c>
      <c r="S590" s="4">
        <v>6</v>
      </c>
      <c r="T590" s="4">
        <v>6</v>
      </c>
      <c r="U590" s="5" t="s">
        <v>4287</v>
      </c>
      <c r="V590" s="5" t="s">
        <v>4287</v>
      </c>
      <c r="W590" s="5" t="s">
        <v>3664</v>
      </c>
      <c r="X590" s="5" t="s">
        <v>3664</v>
      </c>
      <c r="Y590" s="4">
        <v>99</v>
      </c>
      <c r="Z590" s="4">
        <v>75</v>
      </c>
      <c r="AA590" s="4">
        <v>75</v>
      </c>
      <c r="AB590" s="4">
        <v>1</v>
      </c>
      <c r="AC590" s="4">
        <v>1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3" t="s">
        <v>58</v>
      </c>
      <c r="AQ590" s="3" t="s">
        <v>58</v>
      </c>
      <c r="AS590" s="6" t="str">
        <f>HYPERLINK("https://creighton-primo.hosted.exlibrisgroup.com/primo-explore/search?tab=default_tab&amp;search_scope=EVERYTHING&amp;vid=01CRU&amp;lang=en_US&amp;offset=0&amp;query=any,contains,991001091069702656","Catalog Record")</f>
        <v>Catalog Record</v>
      </c>
      <c r="AT590" s="6" t="str">
        <f>HYPERLINK("http://www.worldcat.org/oclc/10695845","WorldCat Record")</f>
        <v>WorldCat Record</v>
      </c>
    </row>
    <row r="591" spans="1:46" ht="40.5" customHeight="1" x14ac:dyDescent="0.25">
      <c r="A591" s="8" t="s">
        <v>58</v>
      </c>
      <c r="B591" s="2" t="s">
        <v>4288</v>
      </c>
      <c r="C591" s="2" t="s">
        <v>4289</v>
      </c>
      <c r="D591" s="2" t="s">
        <v>4290</v>
      </c>
      <c r="F591" s="3" t="s">
        <v>58</v>
      </c>
      <c r="G591" s="3" t="s">
        <v>59</v>
      </c>
      <c r="H591" s="3" t="s">
        <v>58</v>
      </c>
      <c r="I591" s="3" t="s">
        <v>115</v>
      </c>
      <c r="J591" s="3" t="s">
        <v>59</v>
      </c>
      <c r="K591" s="2" t="s">
        <v>4291</v>
      </c>
      <c r="L591" s="2" t="s">
        <v>4292</v>
      </c>
      <c r="M591" s="3" t="s">
        <v>1122</v>
      </c>
      <c r="N591" s="2" t="s">
        <v>221</v>
      </c>
      <c r="O591" s="3" t="s">
        <v>64</v>
      </c>
      <c r="P591" s="3" t="s">
        <v>1374</v>
      </c>
      <c r="R591" s="3" t="s">
        <v>1346</v>
      </c>
      <c r="S591" s="4">
        <v>32</v>
      </c>
      <c r="T591" s="4">
        <v>32</v>
      </c>
      <c r="U591" s="5" t="s">
        <v>2083</v>
      </c>
      <c r="V591" s="5" t="s">
        <v>2083</v>
      </c>
      <c r="W591" s="5" t="s">
        <v>1812</v>
      </c>
      <c r="X591" s="5" t="s">
        <v>1812</v>
      </c>
      <c r="Y591" s="4">
        <v>178</v>
      </c>
      <c r="Z591" s="4">
        <v>146</v>
      </c>
      <c r="AA591" s="4">
        <v>809</v>
      </c>
      <c r="AB591" s="4">
        <v>1</v>
      </c>
      <c r="AC591" s="4">
        <v>4</v>
      </c>
      <c r="AD591" s="4">
        <v>1</v>
      </c>
      <c r="AE591" s="4">
        <v>19</v>
      </c>
      <c r="AF591" s="4">
        <v>0</v>
      </c>
      <c r="AG591" s="4">
        <v>8</v>
      </c>
      <c r="AH591" s="4">
        <v>0</v>
      </c>
      <c r="AI591" s="4">
        <v>4</v>
      </c>
      <c r="AJ591" s="4">
        <v>1</v>
      </c>
      <c r="AK591" s="4">
        <v>7</v>
      </c>
      <c r="AL591" s="4">
        <v>0</v>
      </c>
      <c r="AM591" s="4">
        <v>2</v>
      </c>
      <c r="AN591" s="4">
        <v>0</v>
      </c>
      <c r="AO591" s="4">
        <v>1</v>
      </c>
      <c r="AP591" s="3" t="s">
        <v>58</v>
      </c>
      <c r="AQ591" s="3" t="s">
        <v>115</v>
      </c>
      <c r="AR591" s="6" t="str">
        <f>HYPERLINK("http://catalog.hathitrust.org/Record/002234990","HathiTrust Record")</f>
        <v>HathiTrust Record</v>
      </c>
      <c r="AS591" s="6" t="str">
        <f>HYPERLINK("https://creighton-primo.hosted.exlibrisgroup.com/primo-explore/search?tab=default_tab&amp;search_scope=EVERYTHING&amp;vid=01CRU&amp;lang=en_US&amp;offset=0&amp;query=any,contains,991000821479702656","Catalog Record")</f>
        <v>Catalog Record</v>
      </c>
      <c r="AT591" s="6" t="str">
        <f>HYPERLINK("http://www.worldcat.org/oclc/20566807","WorldCat Record")</f>
        <v>WorldCat Record</v>
      </c>
    </row>
    <row r="592" spans="1:46" ht="40.5" customHeight="1" x14ac:dyDescent="0.25">
      <c r="A592" s="8" t="s">
        <v>58</v>
      </c>
      <c r="B592" s="2" t="s">
        <v>4293</v>
      </c>
      <c r="C592" s="2" t="s">
        <v>4294</v>
      </c>
      <c r="D592" s="2" t="s">
        <v>4295</v>
      </c>
      <c r="E592" s="3" t="s">
        <v>1277</v>
      </c>
      <c r="F592" s="3" t="s">
        <v>58</v>
      </c>
      <c r="G592" s="3" t="s">
        <v>59</v>
      </c>
      <c r="H592" s="3" t="s">
        <v>58</v>
      </c>
      <c r="I592" s="3" t="s">
        <v>58</v>
      </c>
      <c r="J592" s="3" t="s">
        <v>60</v>
      </c>
      <c r="L592" s="2" t="s">
        <v>3850</v>
      </c>
      <c r="M592" s="3" t="s">
        <v>336</v>
      </c>
      <c r="O592" s="3" t="s">
        <v>64</v>
      </c>
      <c r="P592" s="3" t="s">
        <v>65</v>
      </c>
      <c r="R592" s="3" t="s">
        <v>1346</v>
      </c>
      <c r="S592" s="4">
        <v>2</v>
      </c>
      <c r="T592" s="4">
        <v>2</v>
      </c>
      <c r="U592" s="5" t="s">
        <v>4296</v>
      </c>
      <c r="V592" s="5" t="s">
        <v>4296</v>
      </c>
      <c r="W592" s="5" t="s">
        <v>3664</v>
      </c>
      <c r="X592" s="5" t="s">
        <v>3664</v>
      </c>
      <c r="Y592" s="4">
        <v>259</v>
      </c>
      <c r="Z592" s="4">
        <v>205</v>
      </c>
      <c r="AA592" s="4">
        <v>207</v>
      </c>
      <c r="AB592" s="4">
        <v>1</v>
      </c>
      <c r="AC592" s="4">
        <v>1</v>
      </c>
      <c r="AD592" s="4">
        <v>3</v>
      </c>
      <c r="AE592" s="4">
        <v>3</v>
      </c>
      <c r="AF592" s="4">
        <v>1</v>
      </c>
      <c r="AG592" s="4">
        <v>1</v>
      </c>
      <c r="AH592" s="4">
        <v>1</v>
      </c>
      <c r="AI592" s="4">
        <v>1</v>
      </c>
      <c r="AJ592" s="4">
        <v>2</v>
      </c>
      <c r="AK592" s="4">
        <v>2</v>
      </c>
      <c r="AL592" s="4">
        <v>0</v>
      </c>
      <c r="AM592" s="4">
        <v>0</v>
      </c>
      <c r="AN592" s="4">
        <v>0</v>
      </c>
      <c r="AO592" s="4">
        <v>0</v>
      </c>
      <c r="AP592" s="3" t="s">
        <v>58</v>
      </c>
      <c r="AQ592" s="3" t="s">
        <v>115</v>
      </c>
      <c r="AR592" s="6" t="str">
        <f>HYPERLINK("http://catalog.hathitrust.org/Record/000185533","HathiTrust Record")</f>
        <v>HathiTrust Record</v>
      </c>
      <c r="AS592" s="6" t="str">
        <f>HYPERLINK("https://creighton-primo.hosted.exlibrisgroup.com/primo-explore/search?tab=default_tab&amp;search_scope=EVERYTHING&amp;vid=01CRU&amp;lang=en_US&amp;offset=0&amp;query=any,contains,991000962549702656","Catalog Record")</f>
        <v>Catalog Record</v>
      </c>
      <c r="AT592" s="6" t="str">
        <f>HYPERLINK("http://www.worldcat.org/oclc/6554790","WorldCat Record")</f>
        <v>WorldCat Record</v>
      </c>
    </row>
    <row r="593" spans="1:46" ht="40.5" customHeight="1" x14ac:dyDescent="0.25">
      <c r="A593" s="8" t="s">
        <v>58</v>
      </c>
      <c r="B593" s="2" t="s">
        <v>4297</v>
      </c>
      <c r="C593" s="2" t="s">
        <v>4298</v>
      </c>
      <c r="D593" s="2" t="s">
        <v>4299</v>
      </c>
      <c r="F593" s="3" t="s">
        <v>58</v>
      </c>
      <c r="G593" s="3" t="s">
        <v>59</v>
      </c>
      <c r="H593" s="3" t="s">
        <v>58</v>
      </c>
      <c r="I593" s="3" t="s">
        <v>58</v>
      </c>
      <c r="J593" s="3" t="s">
        <v>60</v>
      </c>
      <c r="L593" s="2" t="s">
        <v>4300</v>
      </c>
      <c r="M593" s="3" t="s">
        <v>1122</v>
      </c>
      <c r="O593" s="3" t="s">
        <v>64</v>
      </c>
      <c r="P593" s="3" t="s">
        <v>685</v>
      </c>
      <c r="R593" s="3" t="s">
        <v>1346</v>
      </c>
      <c r="S593" s="4">
        <v>4</v>
      </c>
      <c r="T593" s="4">
        <v>4</v>
      </c>
      <c r="U593" s="5" t="s">
        <v>4301</v>
      </c>
      <c r="V593" s="5" t="s">
        <v>4301</v>
      </c>
      <c r="W593" s="5" t="s">
        <v>4302</v>
      </c>
      <c r="X593" s="5" t="s">
        <v>4302</v>
      </c>
      <c r="Y593" s="4">
        <v>143</v>
      </c>
      <c r="Z593" s="4">
        <v>108</v>
      </c>
      <c r="AA593" s="4">
        <v>149</v>
      </c>
      <c r="AB593" s="4">
        <v>1</v>
      </c>
      <c r="AC593" s="4">
        <v>1</v>
      </c>
      <c r="AD593" s="4">
        <v>2</v>
      </c>
      <c r="AE593" s="4">
        <v>4</v>
      </c>
      <c r="AF593" s="4">
        <v>1</v>
      </c>
      <c r="AG593" s="4">
        <v>2</v>
      </c>
      <c r="AH593" s="4">
        <v>1</v>
      </c>
      <c r="AI593" s="4">
        <v>2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3" t="s">
        <v>58</v>
      </c>
      <c r="AQ593" s="3" t="s">
        <v>115</v>
      </c>
      <c r="AR593" s="6" t="str">
        <f>HYPERLINK("http://catalog.hathitrust.org/Record/002219005","HathiTrust Record")</f>
        <v>HathiTrust Record</v>
      </c>
      <c r="AS593" s="6" t="str">
        <f>HYPERLINK("https://creighton-primo.hosted.exlibrisgroup.com/primo-explore/search?tab=default_tab&amp;search_scope=EVERYTHING&amp;vid=01CRU&amp;lang=en_US&amp;offset=0&amp;query=any,contains,991000780139702656","Catalog Record")</f>
        <v>Catalog Record</v>
      </c>
      <c r="AT593" s="6" t="str">
        <f>HYPERLINK("http://www.worldcat.org/oclc/20798883","WorldCat Record")</f>
        <v>WorldCat Record</v>
      </c>
    </row>
    <row r="594" spans="1:46" ht="40.5" customHeight="1" x14ac:dyDescent="0.25">
      <c r="A594" s="8" t="s">
        <v>58</v>
      </c>
      <c r="B594" s="2" t="s">
        <v>4303</v>
      </c>
      <c r="C594" s="2" t="s">
        <v>4304</v>
      </c>
      <c r="D594" s="2" t="s">
        <v>4305</v>
      </c>
      <c r="F594" s="3" t="s">
        <v>58</v>
      </c>
      <c r="G594" s="3" t="s">
        <v>59</v>
      </c>
      <c r="H594" s="3" t="s">
        <v>58</v>
      </c>
      <c r="I594" s="3" t="s">
        <v>58</v>
      </c>
      <c r="J594" s="3" t="s">
        <v>60</v>
      </c>
      <c r="L594" s="2" t="s">
        <v>4306</v>
      </c>
      <c r="M594" s="3" t="s">
        <v>290</v>
      </c>
      <c r="O594" s="3" t="s">
        <v>64</v>
      </c>
      <c r="P594" s="3" t="s">
        <v>585</v>
      </c>
      <c r="Q594" s="2" t="s">
        <v>4307</v>
      </c>
      <c r="R594" s="3" t="s">
        <v>1346</v>
      </c>
      <c r="S594" s="4">
        <v>1</v>
      </c>
      <c r="T594" s="4">
        <v>1</v>
      </c>
      <c r="U594" s="5" t="s">
        <v>4296</v>
      </c>
      <c r="V594" s="5" t="s">
        <v>4296</v>
      </c>
      <c r="W594" s="5" t="s">
        <v>4308</v>
      </c>
      <c r="X594" s="5" t="s">
        <v>4308</v>
      </c>
      <c r="Y594" s="4">
        <v>81</v>
      </c>
      <c r="Z594" s="4">
        <v>70</v>
      </c>
      <c r="AA594" s="4">
        <v>72</v>
      </c>
      <c r="AB594" s="4">
        <v>2</v>
      </c>
      <c r="AC594" s="4">
        <v>2</v>
      </c>
      <c r="AD594" s="4">
        <v>2</v>
      </c>
      <c r="AE594" s="4">
        <v>2</v>
      </c>
      <c r="AF594" s="4">
        <v>0</v>
      </c>
      <c r="AG594" s="4">
        <v>0</v>
      </c>
      <c r="AH594" s="4">
        <v>0</v>
      </c>
      <c r="AI594" s="4">
        <v>0</v>
      </c>
      <c r="AJ594" s="4">
        <v>1</v>
      </c>
      <c r="AK594" s="4">
        <v>1</v>
      </c>
      <c r="AL594" s="4">
        <v>1</v>
      </c>
      <c r="AM594" s="4">
        <v>1</v>
      </c>
      <c r="AN594" s="4">
        <v>0</v>
      </c>
      <c r="AO594" s="4">
        <v>0</v>
      </c>
      <c r="AP594" s="3" t="s">
        <v>58</v>
      </c>
      <c r="AQ594" s="3" t="s">
        <v>115</v>
      </c>
      <c r="AR594" s="6" t="str">
        <f>HYPERLINK("http://catalog.hathitrust.org/Record/001827779","HathiTrust Record")</f>
        <v>HathiTrust Record</v>
      </c>
      <c r="AS594" s="6" t="str">
        <f>HYPERLINK("https://creighton-primo.hosted.exlibrisgroup.com/primo-explore/search?tab=default_tab&amp;search_scope=EVERYTHING&amp;vid=01CRU&amp;lang=en_US&amp;offset=0&amp;query=any,contains,991001309199702656","Catalog Record")</f>
        <v>Catalog Record</v>
      </c>
      <c r="AT594" s="6" t="str">
        <f>HYPERLINK("http://www.worldcat.org/oclc/20896240","WorldCat Record")</f>
        <v>WorldCat Record</v>
      </c>
    </row>
    <row r="595" spans="1:46" ht="40.5" customHeight="1" x14ac:dyDescent="0.25">
      <c r="A595" s="8" t="s">
        <v>58</v>
      </c>
      <c r="B595" s="2" t="s">
        <v>4309</v>
      </c>
      <c r="C595" s="2" t="s">
        <v>4310</v>
      </c>
      <c r="D595" s="2" t="s">
        <v>4311</v>
      </c>
      <c r="F595" s="3" t="s">
        <v>58</v>
      </c>
      <c r="G595" s="3" t="s">
        <v>59</v>
      </c>
      <c r="H595" s="3" t="s">
        <v>58</v>
      </c>
      <c r="I595" s="3" t="s">
        <v>58</v>
      </c>
      <c r="J595" s="3" t="s">
        <v>60</v>
      </c>
      <c r="K595" s="2" t="s">
        <v>4312</v>
      </c>
      <c r="L595" s="2" t="s">
        <v>2104</v>
      </c>
      <c r="M595" s="3" t="s">
        <v>95</v>
      </c>
      <c r="O595" s="3" t="s">
        <v>64</v>
      </c>
      <c r="P595" s="3" t="s">
        <v>112</v>
      </c>
      <c r="R595" s="3" t="s">
        <v>1346</v>
      </c>
      <c r="S595" s="4">
        <v>0</v>
      </c>
      <c r="T595" s="4">
        <v>0</v>
      </c>
      <c r="U595" s="5" t="s">
        <v>4313</v>
      </c>
      <c r="V595" s="5" t="s">
        <v>4313</v>
      </c>
      <c r="W595" s="5" t="s">
        <v>4314</v>
      </c>
      <c r="X595" s="5" t="s">
        <v>4314</v>
      </c>
      <c r="Y595" s="4">
        <v>101</v>
      </c>
      <c r="Z595" s="4">
        <v>61</v>
      </c>
      <c r="AA595" s="4">
        <v>405</v>
      </c>
      <c r="AB595" s="4">
        <v>1</v>
      </c>
      <c r="AC595" s="4">
        <v>27</v>
      </c>
      <c r="AD595" s="4">
        <v>0</v>
      </c>
      <c r="AE595" s="4">
        <v>16</v>
      </c>
      <c r="AF595" s="4">
        <v>0</v>
      </c>
      <c r="AG595" s="4">
        <v>3</v>
      </c>
      <c r="AH595" s="4">
        <v>0</v>
      </c>
      <c r="AI595" s="4">
        <v>0</v>
      </c>
      <c r="AJ595" s="4">
        <v>0</v>
      </c>
      <c r="AK595" s="4">
        <v>2</v>
      </c>
      <c r="AL595" s="4">
        <v>0</v>
      </c>
      <c r="AM595" s="4">
        <v>12</v>
      </c>
      <c r="AN595" s="4">
        <v>0</v>
      </c>
      <c r="AO595" s="4">
        <v>0</v>
      </c>
      <c r="AP595" s="3" t="s">
        <v>58</v>
      </c>
      <c r="AQ595" s="3" t="s">
        <v>58</v>
      </c>
      <c r="AS595" s="6" t="str">
        <f>HYPERLINK("https://creighton-primo.hosted.exlibrisgroup.com/primo-explore/search?tab=default_tab&amp;search_scope=EVERYTHING&amp;vid=01CRU&amp;lang=en_US&amp;offset=0&amp;query=any,contains,991000362879702656","Catalog Record")</f>
        <v>Catalog Record</v>
      </c>
      <c r="AT595" s="6" t="str">
        <f>HYPERLINK("http://www.worldcat.org/oclc/47717992","WorldCat Record")</f>
        <v>WorldCat Record</v>
      </c>
    </row>
    <row r="596" spans="1:46" ht="40.5" customHeight="1" x14ac:dyDescent="0.25">
      <c r="A596" s="8" t="s">
        <v>58</v>
      </c>
      <c r="B596" s="2" t="s">
        <v>4315</v>
      </c>
      <c r="C596" s="2" t="s">
        <v>4316</v>
      </c>
      <c r="D596" s="2" t="s">
        <v>4317</v>
      </c>
      <c r="F596" s="3" t="s">
        <v>58</v>
      </c>
      <c r="G596" s="3" t="s">
        <v>59</v>
      </c>
      <c r="H596" s="3" t="s">
        <v>58</v>
      </c>
      <c r="I596" s="3" t="s">
        <v>58</v>
      </c>
      <c r="J596" s="3" t="s">
        <v>60</v>
      </c>
      <c r="L596" s="2" t="s">
        <v>3408</v>
      </c>
      <c r="M596" s="3" t="s">
        <v>408</v>
      </c>
      <c r="O596" s="3" t="s">
        <v>64</v>
      </c>
      <c r="P596" s="3" t="s">
        <v>1355</v>
      </c>
      <c r="R596" s="3" t="s">
        <v>1346</v>
      </c>
      <c r="S596" s="4">
        <v>2</v>
      </c>
      <c r="T596" s="4">
        <v>2</v>
      </c>
      <c r="U596" s="5" t="s">
        <v>3513</v>
      </c>
      <c r="V596" s="5" t="s">
        <v>3513</v>
      </c>
      <c r="W596" s="5" t="s">
        <v>3664</v>
      </c>
      <c r="X596" s="5" t="s">
        <v>3664</v>
      </c>
      <c r="Y596" s="4">
        <v>171</v>
      </c>
      <c r="Z596" s="4">
        <v>130</v>
      </c>
      <c r="AA596" s="4">
        <v>133</v>
      </c>
      <c r="AB596" s="4">
        <v>1</v>
      </c>
      <c r="AC596" s="4">
        <v>1</v>
      </c>
      <c r="AD596" s="4">
        <v>3</v>
      </c>
      <c r="AE596" s="4">
        <v>3</v>
      </c>
      <c r="AF596" s="4">
        <v>0</v>
      </c>
      <c r="AG596" s="4">
        <v>0</v>
      </c>
      <c r="AH596" s="4">
        <v>1</v>
      </c>
      <c r="AI596" s="4">
        <v>1</v>
      </c>
      <c r="AJ596" s="4">
        <v>2</v>
      </c>
      <c r="AK596" s="4">
        <v>2</v>
      </c>
      <c r="AL596" s="4">
        <v>0</v>
      </c>
      <c r="AM596" s="4">
        <v>0</v>
      </c>
      <c r="AN596" s="4">
        <v>0</v>
      </c>
      <c r="AO596" s="4">
        <v>0</v>
      </c>
      <c r="AP596" s="3" t="s">
        <v>58</v>
      </c>
      <c r="AQ596" s="3" t="s">
        <v>115</v>
      </c>
      <c r="AR596" s="6" t="str">
        <f>HYPERLINK("http://catalog.hathitrust.org/Record/000648106","HathiTrust Record")</f>
        <v>HathiTrust Record</v>
      </c>
      <c r="AS596" s="6" t="str">
        <f>HYPERLINK("https://creighton-primo.hosted.exlibrisgroup.com/primo-explore/search?tab=default_tab&amp;search_scope=EVERYTHING&amp;vid=01CRU&amp;lang=en_US&amp;offset=0&amp;query=any,contains,991000963109702656","Catalog Record")</f>
        <v>Catalog Record</v>
      </c>
      <c r="AT596" s="6" t="str">
        <f>HYPERLINK("http://www.worldcat.org/oclc/11548383","WorldCat Record")</f>
        <v>WorldCat Record</v>
      </c>
    </row>
    <row r="597" spans="1:46" ht="40.5" customHeight="1" x14ac:dyDescent="0.25">
      <c r="A597" s="8" t="s">
        <v>58</v>
      </c>
      <c r="B597" s="2" t="s">
        <v>4318</v>
      </c>
      <c r="C597" s="2" t="s">
        <v>4319</v>
      </c>
      <c r="D597" s="2" t="s">
        <v>4320</v>
      </c>
      <c r="F597" s="3" t="s">
        <v>58</v>
      </c>
      <c r="G597" s="3" t="s">
        <v>59</v>
      </c>
      <c r="H597" s="3" t="s">
        <v>58</v>
      </c>
      <c r="I597" s="3" t="s">
        <v>58</v>
      </c>
      <c r="J597" s="3" t="s">
        <v>60</v>
      </c>
      <c r="L597" s="2" t="s">
        <v>4321</v>
      </c>
      <c r="M597" s="3" t="s">
        <v>698</v>
      </c>
      <c r="N597" s="2" t="s">
        <v>4322</v>
      </c>
      <c r="O597" s="3" t="s">
        <v>64</v>
      </c>
      <c r="P597" s="3" t="s">
        <v>65</v>
      </c>
      <c r="Q597" s="2" t="s">
        <v>4323</v>
      </c>
      <c r="R597" s="3" t="s">
        <v>1346</v>
      </c>
      <c r="S597" s="4">
        <v>5</v>
      </c>
      <c r="T597" s="4">
        <v>5</v>
      </c>
      <c r="U597" s="5" t="s">
        <v>3501</v>
      </c>
      <c r="V597" s="5" t="s">
        <v>3501</v>
      </c>
      <c r="W597" s="5" t="s">
        <v>4324</v>
      </c>
      <c r="X597" s="5" t="s">
        <v>4324</v>
      </c>
      <c r="Y597" s="4">
        <v>7</v>
      </c>
      <c r="Z597" s="4">
        <v>7</v>
      </c>
      <c r="AA597" s="4">
        <v>35</v>
      </c>
      <c r="AB597" s="4">
        <v>1</v>
      </c>
      <c r="AC597" s="4">
        <v>1</v>
      </c>
      <c r="AD597" s="4">
        <v>0</v>
      </c>
      <c r="AE597" s="4">
        <v>1</v>
      </c>
      <c r="AF597" s="4">
        <v>0</v>
      </c>
      <c r="AG597" s="4">
        <v>0</v>
      </c>
      <c r="AH597" s="4">
        <v>0</v>
      </c>
      <c r="AI597" s="4">
        <v>0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1</v>
      </c>
      <c r="AP597" s="3" t="s">
        <v>58</v>
      </c>
      <c r="AQ597" s="3" t="s">
        <v>58</v>
      </c>
      <c r="AS597" s="6" t="str">
        <f>HYPERLINK("https://creighton-primo.hosted.exlibrisgroup.com/primo-explore/search?tab=default_tab&amp;search_scope=EVERYTHING&amp;vid=01CRU&amp;lang=en_US&amp;offset=0&amp;query=any,contains,991000963079702656","Catalog Record")</f>
        <v>Catalog Record</v>
      </c>
      <c r="AT597" s="6" t="str">
        <f>HYPERLINK("http://www.worldcat.org/oclc/7489950","WorldCat Record")</f>
        <v>WorldCat Record</v>
      </c>
    </row>
    <row r="598" spans="1:46" ht="40.5" customHeight="1" x14ac:dyDescent="0.25">
      <c r="A598" s="8" t="s">
        <v>58</v>
      </c>
      <c r="B598" s="2" t="s">
        <v>4325</v>
      </c>
      <c r="C598" s="2" t="s">
        <v>4326</v>
      </c>
      <c r="D598" s="2" t="s">
        <v>4327</v>
      </c>
      <c r="F598" s="3" t="s">
        <v>58</v>
      </c>
      <c r="G598" s="3" t="s">
        <v>59</v>
      </c>
      <c r="H598" s="3" t="s">
        <v>58</v>
      </c>
      <c r="I598" s="3" t="s">
        <v>58</v>
      </c>
      <c r="J598" s="3" t="s">
        <v>59</v>
      </c>
      <c r="L598" s="2" t="s">
        <v>4328</v>
      </c>
      <c r="M598" s="3" t="s">
        <v>483</v>
      </c>
      <c r="O598" s="3" t="s">
        <v>64</v>
      </c>
      <c r="P598" s="3" t="s">
        <v>1512</v>
      </c>
      <c r="R598" s="3" t="s">
        <v>1346</v>
      </c>
      <c r="S598" s="4">
        <v>17</v>
      </c>
      <c r="T598" s="4">
        <v>17</v>
      </c>
      <c r="U598" s="5" t="s">
        <v>2639</v>
      </c>
      <c r="V598" s="5" t="s">
        <v>2639</v>
      </c>
      <c r="W598" s="5" t="s">
        <v>3664</v>
      </c>
      <c r="X598" s="5" t="s">
        <v>3664</v>
      </c>
      <c r="Y598" s="4">
        <v>230</v>
      </c>
      <c r="Z598" s="4">
        <v>128</v>
      </c>
      <c r="AA598" s="4">
        <v>938</v>
      </c>
      <c r="AB598" s="4">
        <v>1</v>
      </c>
      <c r="AC598" s="4">
        <v>14</v>
      </c>
      <c r="AD598" s="4">
        <v>2</v>
      </c>
      <c r="AE598" s="4">
        <v>41</v>
      </c>
      <c r="AF598" s="4">
        <v>1</v>
      </c>
      <c r="AG598" s="4">
        <v>13</v>
      </c>
      <c r="AH598" s="4">
        <v>0</v>
      </c>
      <c r="AI598" s="4">
        <v>9</v>
      </c>
      <c r="AJ598" s="4">
        <v>1</v>
      </c>
      <c r="AK598" s="4">
        <v>10</v>
      </c>
      <c r="AL598" s="4">
        <v>0</v>
      </c>
      <c r="AM598" s="4">
        <v>12</v>
      </c>
      <c r="AN598" s="4">
        <v>0</v>
      </c>
      <c r="AO598" s="4">
        <v>2</v>
      </c>
      <c r="AP598" s="3" t="s">
        <v>58</v>
      </c>
      <c r="AQ598" s="3" t="s">
        <v>115</v>
      </c>
      <c r="AR598" s="6" t="str">
        <f>HYPERLINK("http://catalog.hathitrust.org/Record/000033562","HathiTrust Record")</f>
        <v>HathiTrust Record</v>
      </c>
      <c r="AS598" s="6" t="str">
        <f>HYPERLINK("https://creighton-primo.hosted.exlibrisgroup.com/primo-explore/search?tab=default_tab&amp;search_scope=EVERYTHING&amp;vid=01CRU&amp;lang=en_US&amp;offset=0&amp;query=any,contains,991000963019702656","Catalog Record")</f>
        <v>Catalog Record</v>
      </c>
      <c r="AT598" s="6" t="str">
        <f>HYPERLINK("http://www.worldcat.org/oclc/5239756","WorldCat Record")</f>
        <v>WorldCat Record</v>
      </c>
    </row>
    <row r="599" spans="1:46" ht="40.5" customHeight="1" x14ac:dyDescent="0.25">
      <c r="A599" s="8" t="s">
        <v>58</v>
      </c>
      <c r="B599" s="2" t="s">
        <v>4329</v>
      </c>
      <c r="C599" s="2" t="s">
        <v>4330</v>
      </c>
      <c r="D599" s="2" t="s">
        <v>4331</v>
      </c>
      <c r="F599" s="3" t="s">
        <v>58</v>
      </c>
      <c r="G599" s="3" t="s">
        <v>59</v>
      </c>
      <c r="H599" s="3" t="s">
        <v>58</v>
      </c>
      <c r="I599" s="3" t="s">
        <v>115</v>
      </c>
      <c r="J599" s="3" t="s">
        <v>60</v>
      </c>
      <c r="L599" s="2" t="s">
        <v>4332</v>
      </c>
      <c r="M599" s="3" t="s">
        <v>907</v>
      </c>
      <c r="N599" s="2" t="s">
        <v>221</v>
      </c>
      <c r="O599" s="3" t="s">
        <v>64</v>
      </c>
      <c r="P599" s="3" t="s">
        <v>643</v>
      </c>
      <c r="R599" s="3" t="s">
        <v>1346</v>
      </c>
      <c r="S599" s="4">
        <v>1</v>
      </c>
      <c r="T599" s="4">
        <v>1</v>
      </c>
      <c r="U599" s="5" t="s">
        <v>4333</v>
      </c>
      <c r="V599" s="5" t="s">
        <v>4333</v>
      </c>
      <c r="W599" s="5" t="s">
        <v>2713</v>
      </c>
      <c r="X599" s="5" t="s">
        <v>2713</v>
      </c>
      <c r="Y599" s="4">
        <v>232</v>
      </c>
      <c r="Z599" s="4">
        <v>158</v>
      </c>
      <c r="AA599" s="4">
        <v>261</v>
      </c>
      <c r="AB599" s="4">
        <v>2</v>
      </c>
      <c r="AC599" s="4">
        <v>2</v>
      </c>
      <c r="AD599" s="4">
        <v>10</v>
      </c>
      <c r="AE599" s="4">
        <v>11</v>
      </c>
      <c r="AF599" s="4">
        <v>5</v>
      </c>
      <c r="AG599" s="4">
        <v>5</v>
      </c>
      <c r="AH599" s="4">
        <v>3</v>
      </c>
      <c r="AI599" s="4">
        <v>3</v>
      </c>
      <c r="AJ599" s="4">
        <v>3</v>
      </c>
      <c r="AK599" s="4">
        <v>4</v>
      </c>
      <c r="AL599" s="4">
        <v>1</v>
      </c>
      <c r="AM599" s="4">
        <v>1</v>
      </c>
      <c r="AN599" s="4">
        <v>0</v>
      </c>
      <c r="AO599" s="4">
        <v>0</v>
      </c>
      <c r="AP599" s="3" t="s">
        <v>58</v>
      </c>
      <c r="AQ599" s="3" t="s">
        <v>58</v>
      </c>
      <c r="AS599" s="6" t="str">
        <f>HYPERLINK("https://creighton-primo.hosted.exlibrisgroup.com/primo-explore/search?tab=default_tab&amp;search_scope=EVERYTHING&amp;vid=01CRU&amp;lang=en_US&amp;offset=0&amp;query=any,contains,991000562199702656","Catalog Record")</f>
        <v>Catalog Record</v>
      </c>
      <c r="AT599" s="6" t="str">
        <f>HYPERLINK("http://www.worldcat.org/oclc/59148565","WorldCat Record")</f>
        <v>WorldCat Record</v>
      </c>
    </row>
    <row r="600" spans="1:46" ht="40.5" customHeight="1" x14ac:dyDescent="0.25">
      <c r="A600" s="8" t="s">
        <v>58</v>
      </c>
      <c r="B600" s="2" t="s">
        <v>4334</v>
      </c>
      <c r="C600" s="2" t="s">
        <v>4335</v>
      </c>
      <c r="D600" s="2" t="s">
        <v>4336</v>
      </c>
      <c r="F600" s="3" t="s">
        <v>58</v>
      </c>
      <c r="G600" s="3" t="s">
        <v>59</v>
      </c>
      <c r="H600" s="3" t="s">
        <v>58</v>
      </c>
      <c r="I600" s="3" t="s">
        <v>58</v>
      </c>
      <c r="J600" s="3" t="s">
        <v>60</v>
      </c>
      <c r="K600" s="2" t="s">
        <v>4337</v>
      </c>
      <c r="L600" s="2" t="s">
        <v>4338</v>
      </c>
      <c r="M600" s="3" t="s">
        <v>4339</v>
      </c>
      <c r="O600" s="3" t="s">
        <v>64</v>
      </c>
      <c r="P600" s="3" t="s">
        <v>1374</v>
      </c>
      <c r="R600" s="3" t="s">
        <v>1346</v>
      </c>
      <c r="S600" s="4">
        <v>8</v>
      </c>
      <c r="T600" s="4">
        <v>8</v>
      </c>
      <c r="U600" s="5" t="s">
        <v>4340</v>
      </c>
      <c r="V600" s="5" t="s">
        <v>4340</v>
      </c>
      <c r="W600" s="5" t="s">
        <v>3664</v>
      </c>
      <c r="X600" s="5" t="s">
        <v>3664</v>
      </c>
      <c r="Y600" s="4">
        <v>123</v>
      </c>
      <c r="Z600" s="4">
        <v>84</v>
      </c>
      <c r="AA600" s="4">
        <v>94</v>
      </c>
      <c r="AB600" s="4">
        <v>2</v>
      </c>
      <c r="AC600" s="4">
        <v>2</v>
      </c>
      <c r="AD600" s="4">
        <v>1</v>
      </c>
      <c r="AE600" s="4">
        <v>1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1</v>
      </c>
      <c r="AM600" s="4">
        <v>1</v>
      </c>
      <c r="AN600" s="4">
        <v>0</v>
      </c>
      <c r="AO600" s="4">
        <v>0</v>
      </c>
      <c r="AP600" s="3" t="s">
        <v>115</v>
      </c>
      <c r="AQ600" s="3" t="s">
        <v>58</v>
      </c>
      <c r="AR600" s="6" t="str">
        <f>HYPERLINK("http://catalog.hathitrust.org/Record/001585227","HathiTrust Record")</f>
        <v>HathiTrust Record</v>
      </c>
      <c r="AS600" s="6" t="str">
        <f>HYPERLINK("https://creighton-primo.hosted.exlibrisgroup.com/primo-explore/search?tab=default_tab&amp;search_scope=EVERYTHING&amp;vid=01CRU&amp;lang=en_US&amp;offset=0&amp;query=any,contains,991000963419702656","Catalog Record")</f>
        <v>Catalog Record</v>
      </c>
      <c r="AT600" s="6" t="str">
        <f>HYPERLINK("http://www.worldcat.org/oclc/729389","WorldCat Record")</f>
        <v>WorldCat Record</v>
      </c>
    </row>
    <row r="601" spans="1:46" ht="40.5" customHeight="1" x14ac:dyDescent="0.25">
      <c r="A601" s="8" t="s">
        <v>58</v>
      </c>
      <c r="B601" s="2" t="s">
        <v>4341</v>
      </c>
      <c r="C601" s="2" t="s">
        <v>4342</v>
      </c>
      <c r="D601" s="2" t="s">
        <v>4343</v>
      </c>
      <c r="F601" s="3" t="s">
        <v>58</v>
      </c>
      <c r="G601" s="3" t="s">
        <v>59</v>
      </c>
      <c r="H601" s="3" t="s">
        <v>58</v>
      </c>
      <c r="I601" s="3" t="s">
        <v>58</v>
      </c>
      <c r="J601" s="3" t="s">
        <v>59</v>
      </c>
      <c r="L601" s="2" t="s">
        <v>4344</v>
      </c>
      <c r="M601" s="3" t="s">
        <v>1037</v>
      </c>
      <c r="N601" s="2" t="s">
        <v>174</v>
      </c>
      <c r="O601" s="3" t="s">
        <v>64</v>
      </c>
      <c r="P601" s="3" t="s">
        <v>112</v>
      </c>
      <c r="R601" s="3" t="s">
        <v>1346</v>
      </c>
      <c r="S601" s="4">
        <v>0</v>
      </c>
      <c r="T601" s="4">
        <v>0</v>
      </c>
      <c r="U601" s="5" t="s">
        <v>2879</v>
      </c>
      <c r="V601" s="5" t="s">
        <v>2879</v>
      </c>
      <c r="W601" s="5" t="s">
        <v>2880</v>
      </c>
      <c r="X601" s="5" t="s">
        <v>2880</v>
      </c>
      <c r="Y601" s="4">
        <v>52</v>
      </c>
      <c r="Z601" s="4">
        <v>36</v>
      </c>
      <c r="AA601" s="4">
        <v>883</v>
      </c>
      <c r="AB601" s="4">
        <v>1</v>
      </c>
      <c r="AC601" s="4">
        <v>14</v>
      </c>
      <c r="AD601" s="4">
        <v>0</v>
      </c>
      <c r="AE601" s="4">
        <v>39</v>
      </c>
      <c r="AF601" s="4">
        <v>0</v>
      </c>
      <c r="AG601" s="4">
        <v>11</v>
      </c>
      <c r="AH601" s="4">
        <v>0</v>
      </c>
      <c r="AI601" s="4">
        <v>9</v>
      </c>
      <c r="AJ601" s="4">
        <v>0</v>
      </c>
      <c r="AK601" s="4">
        <v>10</v>
      </c>
      <c r="AL601" s="4">
        <v>0</v>
      </c>
      <c r="AM601" s="4">
        <v>12</v>
      </c>
      <c r="AN601" s="4">
        <v>0</v>
      </c>
      <c r="AO601" s="4">
        <v>2</v>
      </c>
      <c r="AP601" s="3" t="s">
        <v>58</v>
      </c>
      <c r="AQ601" s="3" t="s">
        <v>58</v>
      </c>
      <c r="AS601" s="6" t="str">
        <f>HYPERLINK("https://creighton-primo.hosted.exlibrisgroup.com/primo-explore/search?tab=default_tab&amp;search_scope=EVERYTHING&amp;vid=01CRU&amp;lang=en_US&amp;offset=0&amp;query=any,contains,991001463869702656","Catalog Record")</f>
        <v>Catalog Record</v>
      </c>
      <c r="AT601" s="6" t="str">
        <f>HYPERLINK("http://www.worldcat.org/oclc/317442710","WorldCat Record")</f>
        <v>WorldCat Record</v>
      </c>
    </row>
    <row r="602" spans="1:46" ht="40.5" customHeight="1" x14ac:dyDescent="0.25">
      <c r="A602" s="8" t="s">
        <v>58</v>
      </c>
      <c r="B602" s="2" t="s">
        <v>4345</v>
      </c>
      <c r="C602" s="2" t="s">
        <v>4346</v>
      </c>
      <c r="D602" s="2" t="s">
        <v>4347</v>
      </c>
      <c r="F602" s="3" t="s">
        <v>58</v>
      </c>
      <c r="G602" s="3" t="s">
        <v>59</v>
      </c>
      <c r="H602" s="3" t="s">
        <v>58</v>
      </c>
      <c r="I602" s="3" t="s">
        <v>58</v>
      </c>
      <c r="J602" s="3" t="s">
        <v>60</v>
      </c>
      <c r="L602" s="2" t="s">
        <v>4348</v>
      </c>
      <c r="M602" s="3" t="s">
        <v>921</v>
      </c>
      <c r="O602" s="3" t="s">
        <v>64</v>
      </c>
      <c r="P602" s="3" t="s">
        <v>613</v>
      </c>
      <c r="R602" s="3" t="s">
        <v>1346</v>
      </c>
      <c r="S602" s="4">
        <v>1</v>
      </c>
      <c r="T602" s="4">
        <v>1</v>
      </c>
      <c r="U602" s="5" t="s">
        <v>4349</v>
      </c>
      <c r="V602" s="5" t="s">
        <v>4349</v>
      </c>
      <c r="W602" s="5" t="s">
        <v>4350</v>
      </c>
      <c r="X602" s="5" t="s">
        <v>4350</v>
      </c>
      <c r="Y602" s="4">
        <v>97</v>
      </c>
      <c r="Z602" s="4">
        <v>74</v>
      </c>
      <c r="AA602" s="4">
        <v>465</v>
      </c>
      <c r="AB602" s="4">
        <v>1</v>
      </c>
      <c r="AC602" s="4">
        <v>27</v>
      </c>
      <c r="AD602" s="4">
        <v>1</v>
      </c>
      <c r="AE602" s="4">
        <v>13</v>
      </c>
      <c r="AF602" s="4">
        <v>0</v>
      </c>
      <c r="AG602" s="4">
        <v>2</v>
      </c>
      <c r="AH602" s="4">
        <v>1</v>
      </c>
      <c r="AI602" s="4">
        <v>1</v>
      </c>
      <c r="AJ602" s="4">
        <v>1</v>
      </c>
      <c r="AK602" s="4">
        <v>3</v>
      </c>
      <c r="AL602" s="4">
        <v>0</v>
      </c>
      <c r="AM602" s="4">
        <v>8</v>
      </c>
      <c r="AN602" s="4">
        <v>0</v>
      </c>
      <c r="AO602" s="4">
        <v>0</v>
      </c>
      <c r="AP602" s="3" t="s">
        <v>58</v>
      </c>
      <c r="AQ602" s="3" t="s">
        <v>58</v>
      </c>
      <c r="AS602" s="6" t="str">
        <f>HYPERLINK("https://creighton-primo.hosted.exlibrisgroup.com/primo-explore/search?tab=default_tab&amp;search_scope=EVERYTHING&amp;vid=01CRU&amp;lang=en_US&amp;offset=0&amp;query=any,contains,991000423149702656","Catalog Record")</f>
        <v>Catalog Record</v>
      </c>
      <c r="AT602" s="6" t="str">
        <f>HYPERLINK("http://www.worldcat.org/oclc/52387988","WorldCat Record")</f>
        <v>WorldCat Record</v>
      </c>
    </row>
    <row r="603" spans="1:46" ht="40.5" customHeight="1" x14ac:dyDescent="0.25">
      <c r="A603" s="8" t="s">
        <v>58</v>
      </c>
      <c r="B603" s="2" t="s">
        <v>4351</v>
      </c>
      <c r="C603" s="2" t="s">
        <v>4352</v>
      </c>
      <c r="D603" s="2" t="s">
        <v>4353</v>
      </c>
      <c r="F603" s="3" t="s">
        <v>58</v>
      </c>
      <c r="G603" s="3" t="s">
        <v>59</v>
      </c>
      <c r="H603" s="3" t="s">
        <v>58</v>
      </c>
      <c r="I603" s="3" t="s">
        <v>58</v>
      </c>
      <c r="J603" s="3" t="s">
        <v>60</v>
      </c>
      <c r="K603" s="2" t="s">
        <v>4354</v>
      </c>
      <c r="L603" s="2" t="s">
        <v>4355</v>
      </c>
      <c r="M603" s="3" t="s">
        <v>4356</v>
      </c>
      <c r="N603" s="2" t="s">
        <v>174</v>
      </c>
      <c r="O603" s="3" t="s">
        <v>64</v>
      </c>
      <c r="P603" s="3" t="s">
        <v>65</v>
      </c>
      <c r="R603" s="3" t="s">
        <v>1346</v>
      </c>
      <c r="S603" s="4">
        <v>3</v>
      </c>
      <c r="T603" s="4">
        <v>3</v>
      </c>
      <c r="U603" s="5" t="s">
        <v>4357</v>
      </c>
      <c r="V603" s="5" t="s">
        <v>4357</v>
      </c>
      <c r="W603" s="5" t="s">
        <v>3664</v>
      </c>
      <c r="X603" s="5" t="s">
        <v>3664</v>
      </c>
      <c r="Y603" s="4">
        <v>216</v>
      </c>
      <c r="Z603" s="4">
        <v>208</v>
      </c>
      <c r="AA603" s="4">
        <v>232</v>
      </c>
      <c r="AB603" s="4">
        <v>3</v>
      </c>
      <c r="AC603" s="4">
        <v>3</v>
      </c>
      <c r="AD603" s="4">
        <v>7</v>
      </c>
      <c r="AE603" s="4">
        <v>7</v>
      </c>
      <c r="AF603" s="4">
        <v>1</v>
      </c>
      <c r="AG603" s="4">
        <v>1</v>
      </c>
      <c r="AH603" s="4">
        <v>0</v>
      </c>
      <c r="AI603" s="4">
        <v>0</v>
      </c>
      <c r="AJ603" s="4">
        <v>5</v>
      </c>
      <c r="AK603" s="4">
        <v>5</v>
      </c>
      <c r="AL603" s="4">
        <v>2</v>
      </c>
      <c r="AM603" s="4">
        <v>2</v>
      </c>
      <c r="AN603" s="4">
        <v>0</v>
      </c>
      <c r="AO603" s="4">
        <v>0</v>
      </c>
      <c r="AP603" s="3" t="s">
        <v>58</v>
      </c>
      <c r="AQ603" s="3" t="s">
        <v>115</v>
      </c>
      <c r="AR603" s="6" t="str">
        <f>HYPERLINK("http://catalog.hathitrust.org/Record/001622159","HathiTrust Record")</f>
        <v>HathiTrust Record</v>
      </c>
      <c r="AS603" s="6" t="str">
        <f>HYPERLINK("https://creighton-primo.hosted.exlibrisgroup.com/primo-explore/search?tab=default_tab&amp;search_scope=EVERYTHING&amp;vid=01CRU&amp;lang=en_US&amp;offset=0&amp;query=any,contains,991000963459702656","Catalog Record")</f>
        <v>Catalog Record</v>
      </c>
      <c r="AT603" s="6" t="str">
        <f>HYPERLINK("http://www.worldcat.org/oclc/14750447","WorldCat Record")</f>
        <v>WorldCat Record</v>
      </c>
    </row>
    <row r="604" spans="1:46" ht="40.5" customHeight="1" x14ac:dyDescent="0.25">
      <c r="A604" s="8" t="s">
        <v>58</v>
      </c>
      <c r="B604" s="2" t="s">
        <v>4358</v>
      </c>
      <c r="C604" s="2" t="s">
        <v>4359</v>
      </c>
      <c r="D604" s="2" t="s">
        <v>4360</v>
      </c>
      <c r="F604" s="3" t="s">
        <v>58</v>
      </c>
      <c r="G604" s="3" t="s">
        <v>59</v>
      </c>
      <c r="H604" s="3" t="s">
        <v>58</v>
      </c>
      <c r="I604" s="3" t="s">
        <v>58</v>
      </c>
      <c r="J604" s="3" t="s">
        <v>60</v>
      </c>
      <c r="K604" s="2" t="s">
        <v>4361</v>
      </c>
      <c r="L604" s="2" t="s">
        <v>4362</v>
      </c>
      <c r="M604" s="3" t="s">
        <v>111</v>
      </c>
      <c r="N604" s="2" t="s">
        <v>174</v>
      </c>
      <c r="O604" s="3" t="s">
        <v>64</v>
      </c>
      <c r="P604" s="3" t="s">
        <v>291</v>
      </c>
      <c r="R604" s="3" t="s">
        <v>1346</v>
      </c>
      <c r="S604" s="4">
        <v>5</v>
      </c>
      <c r="T604" s="4">
        <v>5</v>
      </c>
      <c r="U604" s="5" t="s">
        <v>4363</v>
      </c>
      <c r="V604" s="5" t="s">
        <v>4363</v>
      </c>
      <c r="W604" s="5" t="s">
        <v>2114</v>
      </c>
      <c r="X604" s="5" t="s">
        <v>2114</v>
      </c>
      <c r="Y604" s="4">
        <v>58</v>
      </c>
      <c r="Z604" s="4">
        <v>44</v>
      </c>
      <c r="AA604" s="4">
        <v>46</v>
      </c>
      <c r="AB604" s="4">
        <v>1</v>
      </c>
      <c r="AC604" s="4">
        <v>1</v>
      </c>
      <c r="AD604" s="4">
        <v>2</v>
      </c>
      <c r="AE604" s="4">
        <v>2</v>
      </c>
      <c r="AF604" s="4">
        <v>1</v>
      </c>
      <c r="AG604" s="4">
        <v>1</v>
      </c>
      <c r="AH604" s="4">
        <v>2</v>
      </c>
      <c r="AI604" s="4">
        <v>2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3" t="s">
        <v>58</v>
      </c>
      <c r="AQ604" s="3" t="s">
        <v>115</v>
      </c>
      <c r="AR604" s="6" t="str">
        <f>HYPERLINK("http://catalog.hathitrust.org/Record/000703258","HathiTrust Record")</f>
        <v>HathiTrust Record</v>
      </c>
      <c r="AS604" s="6" t="str">
        <f>HYPERLINK("https://creighton-primo.hosted.exlibrisgroup.com/primo-explore/search?tab=default_tab&amp;search_scope=EVERYTHING&amp;vid=01CRU&amp;lang=en_US&amp;offset=0&amp;query=any,contains,991000963319702656","Catalog Record")</f>
        <v>Catalog Record</v>
      </c>
      <c r="AT604" s="6" t="str">
        <f>HYPERLINK("http://www.worldcat.org/oclc/1949951","WorldCat Record")</f>
        <v>WorldCat Record</v>
      </c>
    </row>
    <row r="605" spans="1:46" ht="40.5" customHeight="1" x14ac:dyDescent="0.25">
      <c r="A605" s="8" t="s">
        <v>58</v>
      </c>
      <c r="B605" s="2" t="s">
        <v>4364</v>
      </c>
      <c r="C605" s="2" t="s">
        <v>4365</v>
      </c>
      <c r="D605" s="2" t="s">
        <v>4366</v>
      </c>
      <c r="F605" s="3" t="s">
        <v>58</v>
      </c>
      <c r="G605" s="3" t="s">
        <v>59</v>
      </c>
      <c r="H605" s="3" t="s">
        <v>58</v>
      </c>
      <c r="I605" s="3" t="s">
        <v>58</v>
      </c>
      <c r="J605" s="3" t="s">
        <v>60</v>
      </c>
      <c r="K605" s="2" t="s">
        <v>4367</v>
      </c>
      <c r="L605" s="2" t="s">
        <v>4368</v>
      </c>
      <c r="M605" s="3" t="s">
        <v>671</v>
      </c>
      <c r="O605" s="3" t="s">
        <v>64</v>
      </c>
      <c r="P605" s="3" t="s">
        <v>144</v>
      </c>
      <c r="R605" s="3" t="s">
        <v>1346</v>
      </c>
      <c r="S605" s="4">
        <v>3</v>
      </c>
      <c r="T605" s="4">
        <v>3</v>
      </c>
      <c r="U605" s="5" t="s">
        <v>4369</v>
      </c>
      <c r="V605" s="5" t="s">
        <v>4369</v>
      </c>
      <c r="W605" s="5" t="s">
        <v>3581</v>
      </c>
      <c r="X605" s="5" t="s">
        <v>3581</v>
      </c>
      <c r="Y605" s="4">
        <v>102</v>
      </c>
      <c r="Z605" s="4">
        <v>75</v>
      </c>
      <c r="AA605" s="4">
        <v>77</v>
      </c>
      <c r="AB605" s="4">
        <v>2</v>
      </c>
      <c r="AC605" s="4">
        <v>2</v>
      </c>
      <c r="AD605" s="4">
        <v>3</v>
      </c>
      <c r="AE605" s="4">
        <v>3</v>
      </c>
      <c r="AF605" s="4">
        <v>2</v>
      </c>
      <c r="AG605" s="4">
        <v>2</v>
      </c>
      <c r="AH605" s="4">
        <v>0</v>
      </c>
      <c r="AI605" s="4">
        <v>0</v>
      </c>
      <c r="AJ605" s="4">
        <v>0</v>
      </c>
      <c r="AK605" s="4">
        <v>0</v>
      </c>
      <c r="AL605" s="4">
        <v>1</v>
      </c>
      <c r="AM605" s="4">
        <v>1</v>
      </c>
      <c r="AN605" s="4">
        <v>0</v>
      </c>
      <c r="AO605" s="4">
        <v>0</v>
      </c>
      <c r="AP605" s="3" t="s">
        <v>58</v>
      </c>
      <c r="AQ605" s="3" t="s">
        <v>115</v>
      </c>
      <c r="AR605" s="6" t="str">
        <f>HYPERLINK("http://catalog.hathitrust.org/Record/001573776","HathiTrust Record")</f>
        <v>HathiTrust Record</v>
      </c>
      <c r="AS605" s="6" t="str">
        <f>HYPERLINK("https://creighton-primo.hosted.exlibrisgroup.com/primo-explore/search?tab=default_tab&amp;search_scope=EVERYTHING&amp;vid=01CRU&amp;lang=en_US&amp;offset=0&amp;query=any,contains,991000964089702656","Catalog Record")</f>
        <v>Catalog Record</v>
      </c>
      <c r="AT605" s="6" t="str">
        <f>HYPERLINK("http://www.worldcat.org/oclc/413012","WorldCat Record")</f>
        <v>WorldCat Record</v>
      </c>
    </row>
    <row r="606" spans="1:46" ht="40.5" customHeight="1" x14ac:dyDescent="0.25">
      <c r="A606" s="8" t="s">
        <v>58</v>
      </c>
      <c r="B606" s="2" t="s">
        <v>4370</v>
      </c>
      <c r="C606" s="2" t="s">
        <v>4371</v>
      </c>
      <c r="D606" s="2" t="s">
        <v>4372</v>
      </c>
      <c r="F606" s="3" t="s">
        <v>58</v>
      </c>
      <c r="G606" s="3" t="s">
        <v>59</v>
      </c>
      <c r="H606" s="3" t="s">
        <v>58</v>
      </c>
      <c r="I606" s="3" t="s">
        <v>58</v>
      </c>
      <c r="J606" s="3" t="s">
        <v>60</v>
      </c>
      <c r="L606" s="2" t="s">
        <v>4373</v>
      </c>
      <c r="M606" s="3" t="s">
        <v>1414</v>
      </c>
      <c r="N606" s="2" t="s">
        <v>4374</v>
      </c>
      <c r="O606" s="3" t="s">
        <v>64</v>
      </c>
      <c r="P606" s="3" t="s">
        <v>112</v>
      </c>
      <c r="R606" s="3" t="s">
        <v>1346</v>
      </c>
      <c r="S606" s="4">
        <v>15</v>
      </c>
      <c r="T606" s="4">
        <v>15</v>
      </c>
      <c r="U606" s="5" t="s">
        <v>3538</v>
      </c>
      <c r="V606" s="5" t="s">
        <v>3538</v>
      </c>
      <c r="W606" s="5" t="s">
        <v>3664</v>
      </c>
      <c r="X606" s="5" t="s">
        <v>3664</v>
      </c>
      <c r="Y606" s="4">
        <v>118</v>
      </c>
      <c r="Z606" s="4">
        <v>56</v>
      </c>
      <c r="AA606" s="4">
        <v>86</v>
      </c>
      <c r="AB606" s="4">
        <v>1</v>
      </c>
      <c r="AC606" s="4">
        <v>2</v>
      </c>
      <c r="AD606" s="4">
        <v>0</v>
      </c>
      <c r="AE606" s="4">
        <v>2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1</v>
      </c>
      <c r="AL606" s="4">
        <v>0</v>
      </c>
      <c r="AM606" s="4">
        <v>1</v>
      </c>
      <c r="AN606" s="4">
        <v>0</v>
      </c>
      <c r="AO606" s="4">
        <v>0</v>
      </c>
      <c r="AP606" s="3" t="s">
        <v>58</v>
      </c>
      <c r="AQ606" s="3" t="s">
        <v>115</v>
      </c>
      <c r="AR606" s="6" t="str">
        <f>HYPERLINK("http://catalog.hathitrust.org/Record/000652729","HathiTrust Record")</f>
        <v>HathiTrust Record</v>
      </c>
      <c r="AS606" s="6" t="str">
        <f>HYPERLINK("https://creighton-primo.hosted.exlibrisgroup.com/primo-explore/search?tab=default_tab&amp;search_scope=EVERYTHING&amp;vid=01CRU&amp;lang=en_US&amp;offset=0&amp;query=any,contains,991000963879702656","Catalog Record")</f>
        <v>Catalog Record</v>
      </c>
      <c r="AT606" s="6" t="str">
        <f>HYPERLINK("http://www.worldcat.org/oclc/11497453","WorldCat Record")</f>
        <v>WorldCat Record</v>
      </c>
    </row>
    <row r="607" spans="1:46" ht="40.5" customHeight="1" x14ac:dyDescent="0.25">
      <c r="A607" s="8" t="s">
        <v>58</v>
      </c>
      <c r="B607" s="2" t="s">
        <v>4375</v>
      </c>
      <c r="C607" s="2" t="s">
        <v>4376</v>
      </c>
      <c r="D607" s="2" t="s">
        <v>4377</v>
      </c>
      <c r="F607" s="3" t="s">
        <v>58</v>
      </c>
      <c r="G607" s="3" t="s">
        <v>59</v>
      </c>
      <c r="H607" s="3" t="s">
        <v>58</v>
      </c>
      <c r="I607" s="3" t="s">
        <v>58</v>
      </c>
      <c r="J607" s="3" t="s">
        <v>60</v>
      </c>
      <c r="K607" s="2" t="s">
        <v>4378</v>
      </c>
      <c r="L607" s="2" t="s">
        <v>4379</v>
      </c>
      <c r="M607" s="3" t="s">
        <v>336</v>
      </c>
      <c r="O607" s="3" t="s">
        <v>64</v>
      </c>
      <c r="P607" s="3" t="s">
        <v>1512</v>
      </c>
      <c r="R607" s="3" t="s">
        <v>1346</v>
      </c>
      <c r="S607" s="4">
        <v>3</v>
      </c>
      <c r="T607" s="4">
        <v>3</v>
      </c>
      <c r="U607" s="5" t="s">
        <v>4369</v>
      </c>
      <c r="V607" s="5" t="s">
        <v>4369</v>
      </c>
      <c r="W607" s="5" t="s">
        <v>3664</v>
      </c>
      <c r="X607" s="5" t="s">
        <v>3664</v>
      </c>
      <c r="Y607" s="4">
        <v>83</v>
      </c>
      <c r="Z607" s="4">
        <v>51</v>
      </c>
      <c r="AA607" s="4">
        <v>52</v>
      </c>
      <c r="AB607" s="4">
        <v>2</v>
      </c>
      <c r="AC607" s="4">
        <v>2</v>
      </c>
      <c r="AD607" s="4">
        <v>2</v>
      </c>
      <c r="AE607" s="4">
        <v>2</v>
      </c>
      <c r="AF607" s="4">
        <v>1</v>
      </c>
      <c r="AG607" s="4">
        <v>1</v>
      </c>
      <c r="AH607" s="4">
        <v>0</v>
      </c>
      <c r="AI607" s="4">
        <v>0</v>
      </c>
      <c r="AJ607" s="4">
        <v>0</v>
      </c>
      <c r="AK607" s="4">
        <v>0</v>
      </c>
      <c r="AL607" s="4">
        <v>1</v>
      </c>
      <c r="AM607" s="4">
        <v>1</v>
      </c>
      <c r="AN607" s="4">
        <v>0</v>
      </c>
      <c r="AO607" s="4">
        <v>0</v>
      </c>
      <c r="AP607" s="3" t="s">
        <v>58</v>
      </c>
      <c r="AQ607" s="3" t="s">
        <v>115</v>
      </c>
      <c r="AR607" s="6" t="str">
        <f>HYPERLINK("http://catalog.hathitrust.org/Record/009863485","HathiTrust Record")</f>
        <v>HathiTrust Record</v>
      </c>
      <c r="AS607" s="6" t="str">
        <f>HYPERLINK("https://creighton-primo.hosted.exlibrisgroup.com/primo-explore/search?tab=default_tab&amp;search_scope=EVERYTHING&amp;vid=01CRU&amp;lang=en_US&amp;offset=0&amp;query=any,contains,991000963839702656","Catalog Record")</f>
        <v>Catalog Record</v>
      </c>
      <c r="AT607" s="6" t="str">
        <f>HYPERLINK("http://www.worldcat.org/oclc/8032101","WorldCat Record")</f>
        <v>WorldCat Record</v>
      </c>
    </row>
    <row r="608" spans="1:46" ht="40.5" customHeight="1" x14ac:dyDescent="0.25">
      <c r="A608" s="8" t="s">
        <v>58</v>
      </c>
      <c r="B608" s="2" t="s">
        <v>4380</v>
      </c>
      <c r="C608" s="2" t="s">
        <v>4381</v>
      </c>
      <c r="D608" s="2" t="s">
        <v>4382</v>
      </c>
      <c r="F608" s="3" t="s">
        <v>58</v>
      </c>
      <c r="G608" s="3" t="s">
        <v>59</v>
      </c>
      <c r="H608" s="3" t="s">
        <v>58</v>
      </c>
      <c r="I608" s="3" t="s">
        <v>58</v>
      </c>
      <c r="J608" s="3" t="s">
        <v>60</v>
      </c>
      <c r="K608" s="2" t="s">
        <v>4383</v>
      </c>
      <c r="L608" s="2" t="s">
        <v>4384</v>
      </c>
      <c r="M608" s="3" t="s">
        <v>821</v>
      </c>
      <c r="O608" s="3" t="s">
        <v>64</v>
      </c>
      <c r="P608" s="3" t="s">
        <v>265</v>
      </c>
      <c r="R608" s="3" t="s">
        <v>1346</v>
      </c>
      <c r="S608" s="4">
        <v>8</v>
      </c>
      <c r="T608" s="4">
        <v>8</v>
      </c>
      <c r="U608" s="5" t="s">
        <v>4385</v>
      </c>
      <c r="V608" s="5" t="s">
        <v>4385</v>
      </c>
      <c r="W608" s="5" t="s">
        <v>3581</v>
      </c>
      <c r="X608" s="5" t="s">
        <v>3581</v>
      </c>
      <c r="Y608" s="4">
        <v>72</v>
      </c>
      <c r="Z608" s="4">
        <v>42</v>
      </c>
      <c r="AA608" s="4">
        <v>56</v>
      </c>
      <c r="AB608" s="4">
        <v>2</v>
      </c>
      <c r="AC608" s="4">
        <v>2</v>
      </c>
      <c r="AD608" s="4">
        <v>4</v>
      </c>
      <c r="AE608" s="4">
        <v>4</v>
      </c>
      <c r="AF608" s="4">
        <v>2</v>
      </c>
      <c r="AG608" s="4">
        <v>2</v>
      </c>
      <c r="AH608" s="4">
        <v>1</v>
      </c>
      <c r="AI608" s="4">
        <v>1</v>
      </c>
      <c r="AJ608" s="4">
        <v>0</v>
      </c>
      <c r="AK608" s="4">
        <v>0</v>
      </c>
      <c r="AL608" s="4">
        <v>1</v>
      </c>
      <c r="AM608" s="4">
        <v>1</v>
      </c>
      <c r="AN608" s="4">
        <v>0</v>
      </c>
      <c r="AO608" s="4">
        <v>0</v>
      </c>
      <c r="AP608" s="3" t="s">
        <v>58</v>
      </c>
      <c r="AQ608" s="3" t="s">
        <v>115</v>
      </c>
      <c r="AR608" s="6" t="str">
        <f>HYPERLINK("http://catalog.hathitrust.org/Record/001573624","HathiTrust Record")</f>
        <v>HathiTrust Record</v>
      </c>
      <c r="AS608" s="6" t="str">
        <f>HYPERLINK("https://creighton-primo.hosted.exlibrisgroup.com/primo-explore/search?tab=default_tab&amp;search_scope=EVERYTHING&amp;vid=01CRU&amp;lang=en_US&amp;offset=0&amp;query=any,contains,991000963799702656","Catalog Record")</f>
        <v>Catalog Record</v>
      </c>
      <c r="AT608" s="6" t="str">
        <f>HYPERLINK("http://www.worldcat.org/oclc/756773","WorldCat Record")</f>
        <v>WorldCat Record</v>
      </c>
    </row>
    <row r="609" spans="1:46" ht="40.5" customHeight="1" x14ac:dyDescent="0.25">
      <c r="A609" s="8" t="s">
        <v>58</v>
      </c>
      <c r="B609" s="2" t="s">
        <v>4386</v>
      </c>
      <c r="C609" s="2" t="s">
        <v>4387</v>
      </c>
      <c r="D609" s="2" t="s">
        <v>4388</v>
      </c>
      <c r="F609" s="3" t="s">
        <v>58</v>
      </c>
      <c r="G609" s="3" t="s">
        <v>59</v>
      </c>
      <c r="H609" s="3" t="s">
        <v>58</v>
      </c>
      <c r="I609" s="3" t="s">
        <v>58</v>
      </c>
      <c r="J609" s="3" t="s">
        <v>60</v>
      </c>
      <c r="K609" s="2" t="s">
        <v>4389</v>
      </c>
      <c r="L609" s="2" t="s">
        <v>4390</v>
      </c>
      <c r="M609" s="3" t="s">
        <v>250</v>
      </c>
      <c r="N609" s="2" t="s">
        <v>1344</v>
      </c>
      <c r="O609" s="3" t="s">
        <v>64</v>
      </c>
      <c r="P609" s="3" t="s">
        <v>144</v>
      </c>
      <c r="R609" s="3" t="s">
        <v>1346</v>
      </c>
      <c r="S609" s="4">
        <v>13</v>
      </c>
      <c r="T609" s="4">
        <v>13</v>
      </c>
      <c r="U609" s="5" t="s">
        <v>2084</v>
      </c>
      <c r="V609" s="5" t="s">
        <v>2084</v>
      </c>
      <c r="W609" s="5" t="s">
        <v>4391</v>
      </c>
      <c r="X609" s="5" t="s">
        <v>4391</v>
      </c>
      <c r="Y609" s="4">
        <v>70</v>
      </c>
      <c r="Z609" s="4">
        <v>46</v>
      </c>
      <c r="AA609" s="4">
        <v>48</v>
      </c>
      <c r="AB609" s="4">
        <v>1</v>
      </c>
      <c r="AC609" s="4">
        <v>1</v>
      </c>
      <c r="AD609" s="4">
        <v>3</v>
      </c>
      <c r="AE609" s="4">
        <v>3</v>
      </c>
      <c r="AF609" s="4">
        <v>2</v>
      </c>
      <c r="AG609" s="4">
        <v>2</v>
      </c>
      <c r="AH609" s="4">
        <v>2</v>
      </c>
      <c r="AI609" s="4">
        <v>2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3" t="s">
        <v>58</v>
      </c>
      <c r="AQ609" s="3" t="s">
        <v>58</v>
      </c>
      <c r="AR609" s="6" t="str">
        <f>HYPERLINK("http://catalog.hathitrust.org/Record/001573927","HathiTrust Record")</f>
        <v>HathiTrust Record</v>
      </c>
      <c r="AS609" s="6" t="str">
        <f>HYPERLINK("https://creighton-primo.hosted.exlibrisgroup.com/primo-explore/search?tab=default_tab&amp;search_scope=EVERYTHING&amp;vid=01CRU&amp;lang=en_US&amp;offset=0&amp;query=any,contains,991000963699702656","Catalog Record")</f>
        <v>Catalog Record</v>
      </c>
      <c r="AT609" s="6" t="str">
        <f>HYPERLINK("http://www.worldcat.org/oclc/2414081","WorldCat Record")</f>
        <v>WorldCat Record</v>
      </c>
    </row>
    <row r="610" spans="1:46" ht="40.5" customHeight="1" x14ac:dyDescent="0.25">
      <c r="A610" s="8" t="s">
        <v>58</v>
      </c>
      <c r="B610" s="2" t="s">
        <v>4392</v>
      </c>
      <c r="C610" s="2" t="s">
        <v>4393</v>
      </c>
      <c r="D610" s="2" t="s">
        <v>4394</v>
      </c>
      <c r="F610" s="3" t="s">
        <v>58</v>
      </c>
      <c r="G610" s="3" t="s">
        <v>59</v>
      </c>
      <c r="H610" s="3" t="s">
        <v>58</v>
      </c>
      <c r="I610" s="3" t="s">
        <v>58</v>
      </c>
      <c r="J610" s="3" t="s">
        <v>60</v>
      </c>
      <c r="L610" s="2" t="s">
        <v>4395</v>
      </c>
      <c r="M610" s="3" t="s">
        <v>671</v>
      </c>
      <c r="O610" s="3" t="s">
        <v>64</v>
      </c>
      <c r="P610" s="3" t="s">
        <v>1406</v>
      </c>
      <c r="R610" s="3" t="s">
        <v>1346</v>
      </c>
      <c r="S610" s="4">
        <v>10</v>
      </c>
      <c r="T610" s="4">
        <v>10</v>
      </c>
      <c r="U610" s="5" t="s">
        <v>4396</v>
      </c>
      <c r="V610" s="5" t="s">
        <v>4396</v>
      </c>
      <c r="W610" s="5" t="s">
        <v>3664</v>
      </c>
      <c r="X610" s="5" t="s">
        <v>3664</v>
      </c>
      <c r="Y610" s="4">
        <v>74</v>
      </c>
      <c r="Z610" s="4">
        <v>52</v>
      </c>
      <c r="AA610" s="4">
        <v>54</v>
      </c>
      <c r="AB610" s="4">
        <v>2</v>
      </c>
      <c r="AC610" s="4">
        <v>2</v>
      </c>
      <c r="AD610" s="4">
        <v>2</v>
      </c>
      <c r="AE610" s="4">
        <v>2</v>
      </c>
      <c r="AF610" s="4">
        <v>1</v>
      </c>
      <c r="AG610" s="4">
        <v>1</v>
      </c>
      <c r="AH610" s="4">
        <v>0</v>
      </c>
      <c r="AI610" s="4">
        <v>0</v>
      </c>
      <c r="AJ610" s="4">
        <v>0</v>
      </c>
      <c r="AK610" s="4">
        <v>0</v>
      </c>
      <c r="AL610" s="4">
        <v>1</v>
      </c>
      <c r="AM610" s="4">
        <v>1</v>
      </c>
      <c r="AN610" s="4">
        <v>0</v>
      </c>
      <c r="AO610" s="4">
        <v>0</v>
      </c>
      <c r="AP610" s="3" t="s">
        <v>58</v>
      </c>
      <c r="AQ610" s="3" t="s">
        <v>115</v>
      </c>
      <c r="AR610" s="6" t="str">
        <f>HYPERLINK("http://catalog.hathitrust.org/Record/001573646","HathiTrust Record")</f>
        <v>HathiTrust Record</v>
      </c>
      <c r="AS610" s="6" t="str">
        <f>HYPERLINK("https://creighton-primo.hosted.exlibrisgroup.com/primo-explore/search?tab=default_tab&amp;search_scope=EVERYTHING&amp;vid=01CRU&amp;lang=en_US&amp;offset=0&amp;query=any,contains,991000963649702656","Catalog Record")</f>
        <v>Catalog Record</v>
      </c>
      <c r="AT610" s="6" t="str">
        <f>HYPERLINK("http://www.worldcat.org/oclc/487738","WorldCat Record")</f>
        <v>WorldCat Record</v>
      </c>
    </row>
    <row r="611" spans="1:46" ht="40.5" customHeight="1" x14ac:dyDescent="0.25">
      <c r="A611" s="8" t="s">
        <v>58</v>
      </c>
      <c r="B611" s="2" t="s">
        <v>4397</v>
      </c>
      <c r="C611" s="2" t="s">
        <v>4398</v>
      </c>
      <c r="D611" s="2" t="s">
        <v>4399</v>
      </c>
      <c r="F611" s="3" t="s">
        <v>58</v>
      </c>
      <c r="G611" s="3" t="s">
        <v>59</v>
      </c>
      <c r="H611" s="3" t="s">
        <v>58</v>
      </c>
      <c r="I611" s="3" t="s">
        <v>58</v>
      </c>
      <c r="J611" s="3" t="s">
        <v>60</v>
      </c>
      <c r="L611" s="2" t="s">
        <v>4400</v>
      </c>
      <c r="M611" s="3" t="s">
        <v>321</v>
      </c>
      <c r="O611" s="3" t="s">
        <v>64</v>
      </c>
      <c r="P611" s="3" t="s">
        <v>291</v>
      </c>
      <c r="R611" s="3" t="s">
        <v>1346</v>
      </c>
      <c r="S611" s="4">
        <v>2</v>
      </c>
      <c r="T611" s="4">
        <v>2</v>
      </c>
      <c r="U611" s="5" t="s">
        <v>4401</v>
      </c>
      <c r="V611" s="5" t="s">
        <v>4401</v>
      </c>
      <c r="W611" s="5" t="s">
        <v>3664</v>
      </c>
      <c r="X611" s="5" t="s">
        <v>3664</v>
      </c>
      <c r="Y611" s="4">
        <v>127</v>
      </c>
      <c r="Z611" s="4">
        <v>110</v>
      </c>
      <c r="AA611" s="4">
        <v>112</v>
      </c>
      <c r="AB611" s="4">
        <v>1</v>
      </c>
      <c r="AC611" s="4">
        <v>1</v>
      </c>
      <c r="AD611" s="4">
        <v>5</v>
      </c>
      <c r="AE611" s="4">
        <v>5</v>
      </c>
      <c r="AF611" s="4">
        <v>2</v>
      </c>
      <c r="AG611" s="4">
        <v>2</v>
      </c>
      <c r="AH611" s="4">
        <v>1</v>
      </c>
      <c r="AI611" s="4">
        <v>1</v>
      </c>
      <c r="AJ611" s="4">
        <v>2</v>
      </c>
      <c r="AK611" s="4">
        <v>2</v>
      </c>
      <c r="AL611" s="4">
        <v>0</v>
      </c>
      <c r="AM611" s="4">
        <v>0</v>
      </c>
      <c r="AN611" s="4">
        <v>0</v>
      </c>
      <c r="AO611" s="4">
        <v>0</v>
      </c>
      <c r="AP611" s="3" t="s">
        <v>58</v>
      </c>
      <c r="AQ611" s="3" t="s">
        <v>115</v>
      </c>
      <c r="AR611" s="6" t="str">
        <f>HYPERLINK("http://catalog.hathitrust.org/Record/000762001","HathiTrust Record")</f>
        <v>HathiTrust Record</v>
      </c>
      <c r="AS611" s="6" t="str">
        <f>HYPERLINK("https://creighton-primo.hosted.exlibrisgroup.com/primo-explore/search?tab=default_tab&amp;search_scope=EVERYTHING&amp;vid=01CRU&amp;lang=en_US&amp;offset=0&amp;query=any,contains,991000964259702656","Catalog Record")</f>
        <v>Catalog Record</v>
      </c>
      <c r="AT611" s="6" t="str">
        <f>HYPERLINK("http://www.worldcat.org/oclc/3332106","WorldCat Record")</f>
        <v>WorldCat Record</v>
      </c>
    </row>
    <row r="612" spans="1:46" ht="40.5" customHeight="1" x14ac:dyDescent="0.25">
      <c r="A612" s="8" t="s">
        <v>58</v>
      </c>
      <c r="B612" s="2" t="s">
        <v>4402</v>
      </c>
      <c r="C612" s="2" t="s">
        <v>4403</v>
      </c>
      <c r="D612" s="2" t="s">
        <v>4404</v>
      </c>
      <c r="F612" s="3" t="s">
        <v>58</v>
      </c>
      <c r="G612" s="3" t="s">
        <v>59</v>
      </c>
      <c r="H612" s="3" t="s">
        <v>58</v>
      </c>
      <c r="I612" s="3" t="s">
        <v>58</v>
      </c>
      <c r="J612" s="3" t="s">
        <v>60</v>
      </c>
      <c r="K612" s="2" t="s">
        <v>4405</v>
      </c>
      <c r="L612" s="2" t="s">
        <v>4406</v>
      </c>
      <c r="M612" s="3" t="s">
        <v>671</v>
      </c>
      <c r="O612" s="3" t="s">
        <v>64</v>
      </c>
      <c r="P612" s="3" t="s">
        <v>643</v>
      </c>
      <c r="Q612" s="2" t="s">
        <v>4407</v>
      </c>
      <c r="R612" s="3" t="s">
        <v>1346</v>
      </c>
      <c r="S612" s="4">
        <v>2</v>
      </c>
      <c r="T612" s="4">
        <v>2</v>
      </c>
      <c r="U612" s="5" t="s">
        <v>4408</v>
      </c>
      <c r="V612" s="5" t="s">
        <v>4408</v>
      </c>
      <c r="W612" s="5" t="s">
        <v>3664</v>
      </c>
      <c r="X612" s="5" t="s">
        <v>3664</v>
      </c>
      <c r="Y612" s="4">
        <v>119</v>
      </c>
      <c r="Z612" s="4">
        <v>103</v>
      </c>
      <c r="AA612" s="4">
        <v>112</v>
      </c>
      <c r="AB612" s="4">
        <v>2</v>
      </c>
      <c r="AC612" s="4">
        <v>2</v>
      </c>
      <c r="AD612" s="4">
        <v>5</v>
      </c>
      <c r="AE612" s="4">
        <v>5</v>
      </c>
      <c r="AF612" s="4">
        <v>1</v>
      </c>
      <c r="AG612" s="4">
        <v>1</v>
      </c>
      <c r="AH612" s="4">
        <v>0</v>
      </c>
      <c r="AI612" s="4">
        <v>0</v>
      </c>
      <c r="AJ612" s="4">
        <v>2</v>
      </c>
      <c r="AK612" s="4">
        <v>2</v>
      </c>
      <c r="AL612" s="4">
        <v>1</v>
      </c>
      <c r="AM612" s="4">
        <v>1</v>
      </c>
      <c r="AN612" s="4">
        <v>1</v>
      </c>
      <c r="AO612" s="4">
        <v>1</v>
      </c>
      <c r="AP612" s="3" t="s">
        <v>115</v>
      </c>
      <c r="AQ612" s="3" t="s">
        <v>58</v>
      </c>
      <c r="AR612" s="6" t="str">
        <f>HYPERLINK("http://catalog.hathitrust.org/Record/001579292","HathiTrust Record")</f>
        <v>HathiTrust Record</v>
      </c>
      <c r="AS612" s="6" t="str">
        <f>HYPERLINK("https://creighton-primo.hosted.exlibrisgroup.com/primo-explore/search?tab=default_tab&amp;search_scope=EVERYTHING&amp;vid=01CRU&amp;lang=en_US&amp;offset=0&amp;query=any,contains,991000964129702656","Catalog Record")</f>
        <v>Catalog Record</v>
      </c>
      <c r="AT612" s="6" t="str">
        <f>HYPERLINK("http://www.worldcat.org/oclc/1499660","WorldCat Record")</f>
        <v>WorldCat Record</v>
      </c>
    </row>
    <row r="613" spans="1:46" ht="40.5" customHeight="1" x14ac:dyDescent="0.25">
      <c r="A613" s="8" t="s">
        <v>58</v>
      </c>
      <c r="B613" s="2" t="s">
        <v>4409</v>
      </c>
      <c r="C613" s="2" t="s">
        <v>4410</v>
      </c>
      <c r="D613" s="2" t="s">
        <v>4411</v>
      </c>
      <c r="F613" s="3" t="s">
        <v>58</v>
      </c>
      <c r="G613" s="3" t="s">
        <v>59</v>
      </c>
      <c r="H613" s="3" t="s">
        <v>58</v>
      </c>
      <c r="I613" s="3" t="s">
        <v>58</v>
      </c>
      <c r="J613" s="3" t="s">
        <v>60</v>
      </c>
      <c r="K613" s="2" t="s">
        <v>4412</v>
      </c>
      <c r="L613" s="2" t="s">
        <v>4413</v>
      </c>
      <c r="M613" s="3" t="s">
        <v>4414</v>
      </c>
      <c r="N613" s="2" t="s">
        <v>4415</v>
      </c>
      <c r="O613" s="3" t="s">
        <v>64</v>
      </c>
      <c r="P613" s="3" t="s">
        <v>265</v>
      </c>
      <c r="R613" s="3" t="s">
        <v>1346</v>
      </c>
      <c r="S613" s="4">
        <v>2</v>
      </c>
      <c r="T613" s="4">
        <v>2</v>
      </c>
      <c r="U613" s="5" t="s">
        <v>4416</v>
      </c>
      <c r="V613" s="5" t="s">
        <v>4416</v>
      </c>
      <c r="W613" s="5" t="s">
        <v>3664</v>
      </c>
      <c r="X613" s="5" t="s">
        <v>3664</v>
      </c>
      <c r="Y613" s="4">
        <v>29</v>
      </c>
      <c r="Z613" s="4">
        <v>21</v>
      </c>
      <c r="AA613" s="4">
        <v>76</v>
      </c>
      <c r="AB613" s="4">
        <v>1</v>
      </c>
      <c r="AC613" s="4">
        <v>1</v>
      </c>
      <c r="AD613" s="4">
        <v>0</v>
      </c>
      <c r="AE613" s="4">
        <v>2</v>
      </c>
      <c r="AF613" s="4">
        <v>0</v>
      </c>
      <c r="AG613" s="4">
        <v>2</v>
      </c>
      <c r="AH613" s="4">
        <v>0</v>
      </c>
      <c r="AI613" s="4">
        <v>1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3" t="s">
        <v>115</v>
      </c>
      <c r="AQ613" s="3" t="s">
        <v>58</v>
      </c>
      <c r="AR613" s="6" t="str">
        <f>HYPERLINK("http://catalog.hathitrust.org/Record/008905594","HathiTrust Record")</f>
        <v>HathiTrust Record</v>
      </c>
      <c r="AS613" s="6" t="str">
        <f>HYPERLINK("https://creighton-primo.hosted.exlibrisgroup.com/primo-explore/search?tab=default_tab&amp;search_scope=EVERYTHING&amp;vid=01CRU&amp;lang=en_US&amp;offset=0&amp;query=any,contains,991000964219702656","Catalog Record")</f>
        <v>Catalog Record</v>
      </c>
      <c r="AT613" s="6" t="str">
        <f>HYPERLINK("http://www.worldcat.org/oclc/3740581","WorldCat Record")</f>
        <v>WorldCat Record</v>
      </c>
    </row>
    <row r="614" spans="1:46" ht="40.5" customHeight="1" x14ac:dyDescent="0.25">
      <c r="A614" s="8" t="s">
        <v>58</v>
      </c>
      <c r="B614" s="2" t="s">
        <v>4417</v>
      </c>
      <c r="C614" s="2" t="s">
        <v>4418</v>
      </c>
      <c r="D614" s="2" t="s">
        <v>4419</v>
      </c>
      <c r="F614" s="3" t="s">
        <v>58</v>
      </c>
      <c r="G614" s="3" t="s">
        <v>59</v>
      </c>
      <c r="H614" s="3" t="s">
        <v>58</v>
      </c>
      <c r="I614" s="3" t="s">
        <v>115</v>
      </c>
      <c r="J614" s="3" t="s">
        <v>60</v>
      </c>
      <c r="K614" s="2" t="s">
        <v>4412</v>
      </c>
      <c r="L614" s="2" t="s">
        <v>4420</v>
      </c>
      <c r="M614" s="3" t="s">
        <v>408</v>
      </c>
      <c r="N614" s="2" t="s">
        <v>4421</v>
      </c>
      <c r="O614" s="3" t="s">
        <v>64</v>
      </c>
      <c r="P614" s="3" t="s">
        <v>144</v>
      </c>
      <c r="R614" s="3" t="s">
        <v>1346</v>
      </c>
      <c r="S614" s="4">
        <v>92</v>
      </c>
      <c r="T614" s="4">
        <v>92</v>
      </c>
      <c r="U614" s="5" t="s">
        <v>4422</v>
      </c>
      <c r="V614" s="5" t="s">
        <v>4422</v>
      </c>
      <c r="W614" s="5" t="s">
        <v>1436</v>
      </c>
      <c r="X614" s="5" t="s">
        <v>1436</v>
      </c>
      <c r="Y614" s="4">
        <v>149</v>
      </c>
      <c r="Z614" s="4">
        <v>105</v>
      </c>
      <c r="AA614" s="4">
        <v>211</v>
      </c>
      <c r="AB614" s="4">
        <v>3</v>
      </c>
      <c r="AC614" s="4">
        <v>3</v>
      </c>
      <c r="AD614" s="4">
        <v>1</v>
      </c>
      <c r="AE614" s="4">
        <v>4</v>
      </c>
      <c r="AF614" s="4">
        <v>1</v>
      </c>
      <c r="AG614" s="4">
        <v>3</v>
      </c>
      <c r="AH614" s="4">
        <v>0</v>
      </c>
      <c r="AI614" s="4">
        <v>0</v>
      </c>
      <c r="AJ614" s="4">
        <v>1</v>
      </c>
      <c r="AK614" s="4">
        <v>3</v>
      </c>
      <c r="AL614" s="4">
        <v>0</v>
      </c>
      <c r="AM614" s="4">
        <v>0</v>
      </c>
      <c r="AN614" s="4">
        <v>0</v>
      </c>
      <c r="AO614" s="4">
        <v>0</v>
      </c>
      <c r="AP614" s="3" t="s">
        <v>58</v>
      </c>
      <c r="AQ614" s="3" t="s">
        <v>58</v>
      </c>
      <c r="AS614" s="6" t="str">
        <f>HYPERLINK("https://creighton-primo.hosted.exlibrisgroup.com/primo-explore/search?tab=default_tab&amp;search_scope=EVERYTHING&amp;vid=01CRU&amp;lang=en_US&amp;offset=0&amp;query=any,contains,991000748089702656","Catalog Record")</f>
        <v>Catalog Record</v>
      </c>
      <c r="AT614" s="6" t="str">
        <f>HYPERLINK("http://www.worldcat.org/oclc/12015935","WorldCat Record")</f>
        <v>WorldCat Record</v>
      </c>
    </row>
    <row r="615" spans="1:46" ht="40.5" customHeight="1" x14ac:dyDescent="0.25">
      <c r="A615" s="8" t="s">
        <v>58</v>
      </c>
      <c r="B615" s="2" t="s">
        <v>4423</v>
      </c>
      <c r="C615" s="2" t="s">
        <v>4424</v>
      </c>
      <c r="D615" s="2" t="s">
        <v>4425</v>
      </c>
      <c r="F615" s="3" t="s">
        <v>58</v>
      </c>
      <c r="G615" s="3" t="s">
        <v>59</v>
      </c>
      <c r="H615" s="3" t="s">
        <v>58</v>
      </c>
      <c r="I615" s="3" t="s">
        <v>115</v>
      </c>
      <c r="J615" s="3" t="s">
        <v>60</v>
      </c>
      <c r="K615" s="2" t="s">
        <v>4412</v>
      </c>
      <c r="L615" s="2" t="s">
        <v>4426</v>
      </c>
      <c r="M615" s="3" t="s">
        <v>1122</v>
      </c>
      <c r="N615" s="2" t="s">
        <v>4427</v>
      </c>
      <c r="O615" s="3" t="s">
        <v>64</v>
      </c>
      <c r="P615" s="3" t="s">
        <v>144</v>
      </c>
      <c r="R615" s="3" t="s">
        <v>1346</v>
      </c>
      <c r="S615" s="4">
        <v>158</v>
      </c>
      <c r="T615" s="4">
        <v>158</v>
      </c>
      <c r="U615" s="5" t="s">
        <v>4428</v>
      </c>
      <c r="V615" s="5" t="s">
        <v>4428</v>
      </c>
      <c r="W615" s="5" t="s">
        <v>2719</v>
      </c>
      <c r="X615" s="5" t="s">
        <v>2719</v>
      </c>
      <c r="Y615" s="4">
        <v>143</v>
      </c>
      <c r="Z615" s="4">
        <v>90</v>
      </c>
      <c r="AA615" s="4">
        <v>211</v>
      </c>
      <c r="AB615" s="4">
        <v>1</v>
      </c>
      <c r="AC615" s="4">
        <v>3</v>
      </c>
      <c r="AD615" s="4">
        <v>0</v>
      </c>
      <c r="AE615" s="4">
        <v>4</v>
      </c>
      <c r="AF615" s="4">
        <v>0</v>
      </c>
      <c r="AG615" s="4">
        <v>3</v>
      </c>
      <c r="AH615" s="4">
        <v>0</v>
      </c>
      <c r="AI615" s="4">
        <v>0</v>
      </c>
      <c r="AJ615" s="4">
        <v>0</v>
      </c>
      <c r="AK615" s="4">
        <v>3</v>
      </c>
      <c r="AL615" s="4">
        <v>0</v>
      </c>
      <c r="AM615" s="4">
        <v>0</v>
      </c>
      <c r="AN615" s="4">
        <v>0</v>
      </c>
      <c r="AO615" s="4">
        <v>0</v>
      </c>
      <c r="AP615" s="3" t="s">
        <v>58</v>
      </c>
      <c r="AQ615" s="3" t="s">
        <v>58</v>
      </c>
      <c r="AS615" s="6" t="str">
        <f>HYPERLINK("https://creighton-primo.hosted.exlibrisgroup.com/primo-explore/search?tab=default_tab&amp;search_scope=EVERYTHING&amp;vid=01CRU&amp;lang=en_US&amp;offset=0&amp;query=any,contains,991000501259702656","Catalog Record")</f>
        <v>Catalog Record</v>
      </c>
      <c r="AT615" s="6" t="str">
        <f>HYPERLINK("http://www.worldcat.org/oclc/24381485","WorldCat Record")</f>
        <v>WorldCat Record</v>
      </c>
    </row>
    <row r="616" spans="1:46" ht="40.5" customHeight="1" x14ac:dyDescent="0.25">
      <c r="A616" s="8" t="s">
        <v>58</v>
      </c>
      <c r="B616" s="2" t="s">
        <v>4429</v>
      </c>
      <c r="C616" s="2" t="s">
        <v>4430</v>
      </c>
      <c r="D616" s="2" t="s">
        <v>4431</v>
      </c>
      <c r="F616" s="3" t="s">
        <v>58</v>
      </c>
      <c r="G616" s="3" t="s">
        <v>59</v>
      </c>
      <c r="H616" s="3" t="s">
        <v>58</v>
      </c>
      <c r="I616" s="3" t="s">
        <v>58</v>
      </c>
      <c r="J616" s="3" t="s">
        <v>60</v>
      </c>
      <c r="K616" s="2" t="s">
        <v>4432</v>
      </c>
      <c r="L616" s="2" t="s">
        <v>4433</v>
      </c>
      <c r="M616" s="3" t="s">
        <v>1639</v>
      </c>
      <c r="O616" s="3" t="s">
        <v>64</v>
      </c>
      <c r="P616" s="3" t="s">
        <v>265</v>
      </c>
      <c r="R616" s="3" t="s">
        <v>1346</v>
      </c>
      <c r="S616" s="4">
        <v>10</v>
      </c>
      <c r="T616" s="4">
        <v>10</v>
      </c>
      <c r="U616" s="5" t="s">
        <v>4385</v>
      </c>
      <c r="V616" s="5" t="s">
        <v>4385</v>
      </c>
      <c r="W616" s="5" t="s">
        <v>3581</v>
      </c>
      <c r="X616" s="5" t="s">
        <v>3581</v>
      </c>
      <c r="Y616" s="4">
        <v>82</v>
      </c>
      <c r="Z616" s="4">
        <v>48</v>
      </c>
      <c r="AA616" s="4">
        <v>95</v>
      </c>
      <c r="AB616" s="4">
        <v>2</v>
      </c>
      <c r="AC616" s="4">
        <v>2</v>
      </c>
      <c r="AD616" s="4">
        <v>3</v>
      </c>
      <c r="AE616" s="4">
        <v>5</v>
      </c>
      <c r="AF616" s="4">
        <v>1</v>
      </c>
      <c r="AG616" s="4">
        <v>3</v>
      </c>
      <c r="AH616" s="4">
        <v>2</v>
      </c>
      <c r="AI616" s="4">
        <v>2</v>
      </c>
      <c r="AJ616" s="4">
        <v>0</v>
      </c>
      <c r="AK616" s="4">
        <v>0</v>
      </c>
      <c r="AL616" s="4">
        <v>1</v>
      </c>
      <c r="AM616" s="4">
        <v>1</v>
      </c>
      <c r="AN616" s="4">
        <v>0</v>
      </c>
      <c r="AO616" s="4">
        <v>0</v>
      </c>
      <c r="AP616" s="3" t="s">
        <v>58</v>
      </c>
      <c r="AQ616" s="3" t="s">
        <v>58</v>
      </c>
      <c r="AR616" s="6" t="str">
        <f>HYPERLINK("http://catalog.hathitrust.org/Record/001573639","HathiTrust Record")</f>
        <v>HathiTrust Record</v>
      </c>
      <c r="AS616" s="6" t="str">
        <f>HYPERLINK("https://creighton-primo.hosted.exlibrisgroup.com/primo-explore/search?tab=default_tab&amp;search_scope=EVERYTHING&amp;vid=01CRU&amp;lang=en_US&amp;offset=0&amp;query=any,contains,991000964959702656","Catalog Record")</f>
        <v>Catalog Record</v>
      </c>
      <c r="AT616" s="6" t="str">
        <f>HYPERLINK("http://www.worldcat.org/oclc/1620783","WorldCat Record")</f>
        <v>WorldCat Record</v>
      </c>
    </row>
    <row r="617" spans="1:46" ht="40.5" customHeight="1" x14ac:dyDescent="0.25">
      <c r="A617" s="8" t="s">
        <v>58</v>
      </c>
      <c r="B617" s="2" t="s">
        <v>4434</v>
      </c>
      <c r="C617" s="2" t="s">
        <v>4435</v>
      </c>
      <c r="D617" s="2" t="s">
        <v>4436</v>
      </c>
      <c r="F617" s="3" t="s">
        <v>58</v>
      </c>
      <c r="G617" s="3" t="s">
        <v>59</v>
      </c>
      <c r="H617" s="3" t="s">
        <v>58</v>
      </c>
      <c r="I617" s="3" t="s">
        <v>58</v>
      </c>
      <c r="J617" s="3" t="s">
        <v>60</v>
      </c>
      <c r="K617" s="2" t="s">
        <v>4437</v>
      </c>
      <c r="L617" s="2" t="s">
        <v>4438</v>
      </c>
      <c r="M617" s="3" t="s">
        <v>628</v>
      </c>
      <c r="O617" s="3" t="s">
        <v>64</v>
      </c>
      <c r="P617" s="3" t="s">
        <v>643</v>
      </c>
      <c r="R617" s="3" t="s">
        <v>1346</v>
      </c>
      <c r="S617" s="4">
        <v>7</v>
      </c>
      <c r="T617" s="4">
        <v>7</v>
      </c>
      <c r="U617" s="5" t="s">
        <v>4401</v>
      </c>
      <c r="V617" s="5" t="s">
        <v>4401</v>
      </c>
      <c r="W617" s="5" t="s">
        <v>4439</v>
      </c>
      <c r="X617" s="5" t="s">
        <v>4439</v>
      </c>
      <c r="Y617" s="4">
        <v>132</v>
      </c>
      <c r="Z617" s="4">
        <v>102</v>
      </c>
      <c r="AA617" s="4">
        <v>151</v>
      </c>
      <c r="AB617" s="4">
        <v>1</v>
      </c>
      <c r="AC617" s="4">
        <v>1</v>
      </c>
      <c r="AD617" s="4">
        <v>3</v>
      </c>
      <c r="AE617" s="4">
        <v>5</v>
      </c>
      <c r="AF617" s="4">
        <v>2</v>
      </c>
      <c r="AG617" s="4">
        <v>4</v>
      </c>
      <c r="AH617" s="4">
        <v>1</v>
      </c>
      <c r="AI617" s="4">
        <v>1</v>
      </c>
      <c r="AJ617" s="4">
        <v>0</v>
      </c>
      <c r="AK617" s="4">
        <v>1</v>
      </c>
      <c r="AL617" s="4">
        <v>0</v>
      </c>
      <c r="AM617" s="4">
        <v>0</v>
      </c>
      <c r="AN617" s="4">
        <v>0</v>
      </c>
      <c r="AO617" s="4">
        <v>0</v>
      </c>
      <c r="AP617" s="3" t="s">
        <v>58</v>
      </c>
      <c r="AQ617" s="3" t="s">
        <v>115</v>
      </c>
      <c r="AR617" s="6" t="str">
        <f>HYPERLINK("http://catalog.hathitrust.org/Record/002075378","HathiTrust Record")</f>
        <v>HathiTrust Record</v>
      </c>
      <c r="AS617" s="6" t="str">
        <f>HYPERLINK("https://creighton-primo.hosted.exlibrisgroup.com/primo-explore/search?tab=default_tab&amp;search_scope=EVERYTHING&amp;vid=01CRU&amp;lang=en_US&amp;offset=0&amp;query=any,contains,991000964879702656","Catalog Record")</f>
        <v>Catalog Record</v>
      </c>
      <c r="AT617" s="6" t="str">
        <f>HYPERLINK("http://www.worldcat.org/oclc/1046087","WorldCat Record")</f>
        <v>WorldCat Record</v>
      </c>
    </row>
    <row r="618" spans="1:46" ht="40.5" customHeight="1" x14ac:dyDescent="0.25">
      <c r="A618" s="8" t="s">
        <v>58</v>
      </c>
      <c r="B618" s="2" t="s">
        <v>4440</v>
      </c>
      <c r="C618" s="2" t="s">
        <v>4441</v>
      </c>
      <c r="D618" s="2" t="s">
        <v>4442</v>
      </c>
      <c r="F618" s="3" t="s">
        <v>58</v>
      </c>
      <c r="G618" s="3" t="s">
        <v>59</v>
      </c>
      <c r="H618" s="3" t="s">
        <v>58</v>
      </c>
      <c r="I618" s="3" t="s">
        <v>58</v>
      </c>
      <c r="J618" s="3" t="s">
        <v>60</v>
      </c>
      <c r="K618" s="2" t="s">
        <v>4443</v>
      </c>
      <c r="L618" s="2" t="s">
        <v>4444</v>
      </c>
      <c r="M618" s="3" t="s">
        <v>483</v>
      </c>
      <c r="N618" s="2" t="s">
        <v>4445</v>
      </c>
      <c r="O618" s="3" t="s">
        <v>64</v>
      </c>
      <c r="P618" s="3" t="s">
        <v>1406</v>
      </c>
      <c r="R618" s="3" t="s">
        <v>1346</v>
      </c>
      <c r="S618" s="4">
        <v>6</v>
      </c>
      <c r="T618" s="4">
        <v>6</v>
      </c>
      <c r="U618" s="5" t="s">
        <v>4446</v>
      </c>
      <c r="V618" s="5" t="s">
        <v>4446</v>
      </c>
      <c r="W618" s="5" t="s">
        <v>3664</v>
      </c>
      <c r="X618" s="5" t="s">
        <v>3664</v>
      </c>
      <c r="Y618" s="4">
        <v>59</v>
      </c>
      <c r="Z618" s="4">
        <v>42</v>
      </c>
      <c r="AA618" s="4">
        <v>69</v>
      </c>
      <c r="AB618" s="4">
        <v>2</v>
      </c>
      <c r="AC618" s="4">
        <v>2</v>
      </c>
      <c r="AD618" s="4">
        <v>2</v>
      </c>
      <c r="AE618" s="4">
        <v>4</v>
      </c>
      <c r="AF618" s="4">
        <v>0</v>
      </c>
      <c r="AG618" s="4">
        <v>1</v>
      </c>
      <c r="AH618" s="4">
        <v>1</v>
      </c>
      <c r="AI618" s="4">
        <v>2</v>
      </c>
      <c r="AJ618" s="4">
        <v>0</v>
      </c>
      <c r="AK618" s="4">
        <v>0</v>
      </c>
      <c r="AL618" s="4">
        <v>1</v>
      </c>
      <c r="AM618" s="4">
        <v>1</v>
      </c>
      <c r="AN618" s="4">
        <v>0</v>
      </c>
      <c r="AO618" s="4">
        <v>0</v>
      </c>
      <c r="AP618" s="3" t="s">
        <v>58</v>
      </c>
      <c r="AQ618" s="3" t="s">
        <v>115</v>
      </c>
      <c r="AR618" s="6" t="str">
        <f>HYPERLINK("http://catalog.hathitrust.org/Record/000716431","HathiTrust Record")</f>
        <v>HathiTrust Record</v>
      </c>
      <c r="AS618" s="6" t="str">
        <f>HYPERLINK("https://creighton-primo.hosted.exlibrisgroup.com/primo-explore/search?tab=default_tab&amp;search_scope=EVERYTHING&amp;vid=01CRU&amp;lang=en_US&amp;offset=0&amp;query=any,contains,991000964919702656","Catalog Record")</f>
        <v>Catalog Record</v>
      </c>
      <c r="AT618" s="6" t="str">
        <f>HYPERLINK("http://www.worldcat.org/oclc/4775095","WorldCat Record")</f>
        <v>WorldCat Record</v>
      </c>
    </row>
    <row r="619" spans="1:46" ht="40.5" customHeight="1" x14ac:dyDescent="0.25">
      <c r="A619" s="8" t="s">
        <v>58</v>
      </c>
      <c r="B619" s="2" t="s">
        <v>4447</v>
      </c>
      <c r="C619" s="2" t="s">
        <v>4448</v>
      </c>
      <c r="D619" s="2" t="s">
        <v>4449</v>
      </c>
      <c r="F619" s="3" t="s">
        <v>58</v>
      </c>
      <c r="G619" s="3" t="s">
        <v>59</v>
      </c>
      <c r="H619" s="3" t="s">
        <v>58</v>
      </c>
      <c r="I619" s="3" t="s">
        <v>58</v>
      </c>
      <c r="J619" s="3" t="s">
        <v>60</v>
      </c>
      <c r="L619" s="2" t="s">
        <v>4450</v>
      </c>
      <c r="M619" s="3" t="s">
        <v>1414</v>
      </c>
      <c r="O619" s="3" t="s">
        <v>64</v>
      </c>
      <c r="P619" s="3" t="s">
        <v>4451</v>
      </c>
      <c r="R619" s="3" t="s">
        <v>1346</v>
      </c>
      <c r="S619" s="4">
        <v>2</v>
      </c>
      <c r="T619" s="4">
        <v>2</v>
      </c>
      <c r="U619" s="5" t="s">
        <v>4452</v>
      </c>
      <c r="V619" s="5" t="s">
        <v>4452</v>
      </c>
      <c r="W619" s="5" t="s">
        <v>3664</v>
      </c>
      <c r="X619" s="5" t="s">
        <v>3664</v>
      </c>
      <c r="Y619" s="4">
        <v>6</v>
      </c>
      <c r="Z619" s="4">
        <v>6</v>
      </c>
      <c r="AA619" s="4">
        <v>6</v>
      </c>
      <c r="AB619" s="4">
        <v>1</v>
      </c>
      <c r="AC619" s="4">
        <v>1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3" t="s">
        <v>58</v>
      </c>
      <c r="AQ619" s="3" t="s">
        <v>58</v>
      </c>
      <c r="AS619" s="6" t="str">
        <f>HYPERLINK("https://creighton-primo.hosted.exlibrisgroup.com/primo-explore/search?tab=default_tab&amp;search_scope=EVERYTHING&amp;vid=01CRU&amp;lang=en_US&amp;offset=0&amp;query=any,contains,991000964819702656","Catalog Record")</f>
        <v>Catalog Record</v>
      </c>
      <c r="AT619" s="6" t="str">
        <f>HYPERLINK("http://www.worldcat.org/oclc/11644085","WorldCat Record")</f>
        <v>WorldCat Record</v>
      </c>
    </row>
    <row r="620" spans="1:46" ht="40.5" customHeight="1" x14ac:dyDescent="0.25">
      <c r="A620" s="8" t="s">
        <v>58</v>
      </c>
      <c r="B620" s="2" t="s">
        <v>4453</v>
      </c>
      <c r="C620" s="2" t="s">
        <v>4454</v>
      </c>
      <c r="D620" s="2" t="s">
        <v>4455</v>
      </c>
      <c r="F620" s="3" t="s">
        <v>58</v>
      </c>
      <c r="G620" s="3" t="s">
        <v>59</v>
      </c>
      <c r="H620" s="3" t="s">
        <v>58</v>
      </c>
      <c r="I620" s="3" t="s">
        <v>58</v>
      </c>
      <c r="J620" s="3" t="s">
        <v>60</v>
      </c>
      <c r="K620" s="2" t="s">
        <v>4456</v>
      </c>
      <c r="L620" s="2" t="s">
        <v>4457</v>
      </c>
      <c r="M620" s="3" t="s">
        <v>173</v>
      </c>
      <c r="O620" s="3" t="s">
        <v>64</v>
      </c>
      <c r="P620" s="3" t="s">
        <v>1355</v>
      </c>
      <c r="R620" s="3" t="s">
        <v>1346</v>
      </c>
      <c r="S620" s="4">
        <v>1</v>
      </c>
      <c r="T620" s="4">
        <v>1</v>
      </c>
      <c r="U620" s="5" t="s">
        <v>4458</v>
      </c>
      <c r="V620" s="5" t="s">
        <v>4458</v>
      </c>
      <c r="W620" s="5" t="s">
        <v>4459</v>
      </c>
      <c r="X620" s="5" t="s">
        <v>4459</v>
      </c>
      <c r="Y620" s="4">
        <v>65</v>
      </c>
      <c r="Z620" s="4">
        <v>58</v>
      </c>
      <c r="AA620" s="4">
        <v>60</v>
      </c>
      <c r="AB620" s="4">
        <v>1</v>
      </c>
      <c r="AC620" s="4">
        <v>1</v>
      </c>
      <c r="AD620" s="4">
        <v>2</v>
      </c>
      <c r="AE620" s="4">
        <v>2</v>
      </c>
      <c r="AF620" s="4">
        <v>1</v>
      </c>
      <c r="AG620" s="4">
        <v>1</v>
      </c>
      <c r="AH620" s="4">
        <v>0</v>
      </c>
      <c r="AI620" s="4">
        <v>0</v>
      </c>
      <c r="AJ620" s="4">
        <v>2</v>
      </c>
      <c r="AK620" s="4">
        <v>2</v>
      </c>
      <c r="AL620" s="4">
        <v>0</v>
      </c>
      <c r="AM620" s="4">
        <v>0</v>
      </c>
      <c r="AN620" s="4">
        <v>0</v>
      </c>
      <c r="AO620" s="4">
        <v>0</v>
      </c>
      <c r="AP620" s="3" t="s">
        <v>58</v>
      </c>
      <c r="AQ620" s="3" t="s">
        <v>115</v>
      </c>
      <c r="AR620" s="6" t="str">
        <f>HYPERLINK("http://catalog.hathitrust.org/Record/003097626","HathiTrust Record")</f>
        <v>HathiTrust Record</v>
      </c>
      <c r="AS620" s="6" t="str">
        <f>HYPERLINK("https://creighton-primo.hosted.exlibrisgroup.com/primo-explore/search?tab=default_tab&amp;search_scope=EVERYTHING&amp;vid=01CRU&amp;lang=en_US&amp;offset=0&amp;query=any,contains,991001505299702656","Catalog Record")</f>
        <v>Catalog Record</v>
      </c>
      <c r="AT620" s="6" t="str">
        <f>HYPERLINK("http://www.worldcat.org/oclc/32281553","WorldCat Record")</f>
        <v>WorldCat Record</v>
      </c>
    </row>
    <row r="621" spans="1:46" ht="40.5" customHeight="1" x14ac:dyDescent="0.25">
      <c r="A621" s="8" t="s">
        <v>58</v>
      </c>
      <c r="B621" s="2" t="s">
        <v>4460</v>
      </c>
      <c r="C621" s="2" t="s">
        <v>4461</v>
      </c>
      <c r="D621" s="2" t="s">
        <v>4462</v>
      </c>
      <c r="F621" s="3" t="s">
        <v>58</v>
      </c>
      <c r="G621" s="3" t="s">
        <v>59</v>
      </c>
      <c r="H621" s="3" t="s">
        <v>58</v>
      </c>
      <c r="I621" s="3" t="s">
        <v>58</v>
      </c>
      <c r="J621" s="3" t="s">
        <v>60</v>
      </c>
      <c r="K621" s="2" t="s">
        <v>4463</v>
      </c>
      <c r="L621" s="2" t="s">
        <v>4464</v>
      </c>
      <c r="M621" s="3" t="s">
        <v>1511</v>
      </c>
      <c r="O621" s="3" t="s">
        <v>64</v>
      </c>
      <c r="P621" s="3" t="s">
        <v>755</v>
      </c>
      <c r="R621" s="3" t="s">
        <v>1346</v>
      </c>
      <c r="S621" s="4">
        <v>3</v>
      </c>
      <c r="T621" s="4">
        <v>3</v>
      </c>
      <c r="U621" s="5" t="s">
        <v>4465</v>
      </c>
      <c r="V621" s="5" t="s">
        <v>4465</v>
      </c>
      <c r="W621" s="5" t="s">
        <v>4465</v>
      </c>
      <c r="X621" s="5" t="s">
        <v>4465</v>
      </c>
      <c r="Y621" s="4">
        <v>35</v>
      </c>
      <c r="Z621" s="4">
        <v>35</v>
      </c>
      <c r="AA621" s="4">
        <v>37</v>
      </c>
      <c r="AB621" s="4">
        <v>1</v>
      </c>
      <c r="AC621" s="4">
        <v>1</v>
      </c>
      <c r="AD621" s="4">
        <v>2</v>
      </c>
      <c r="AE621" s="4">
        <v>2</v>
      </c>
      <c r="AF621" s="4">
        <v>0</v>
      </c>
      <c r="AG621" s="4">
        <v>0</v>
      </c>
      <c r="AH621" s="4">
        <v>1</v>
      </c>
      <c r="AI621" s="4">
        <v>1</v>
      </c>
      <c r="AJ621" s="4">
        <v>1</v>
      </c>
      <c r="AK621" s="4">
        <v>1</v>
      </c>
      <c r="AL621" s="4">
        <v>0</v>
      </c>
      <c r="AM621" s="4">
        <v>0</v>
      </c>
      <c r="AN621" s="4">
        <v>0</v>
      </c>
      <c r="AO621" s="4">
        <v>0</v>
      </c>
      <c r="AP621" s="3" t="s">
        <v>58</v>
      </c>
      <c r="AQ621" s="3" t="s">
        <v>115</v>
      </c>
      <c r="AR621" s="6" t="str">
        <f>HYPERLINK("http://catalog.hathitrust.org/Record/002720264","HathiTrust Record")</f>
        <v>HathiTrust Record</v>
      </c>
      <c r="AS621" s="6" t="str">
        <f>HYPERLINK("https://creighton-primo.hosted.exlibrisgroup.com/primo-explore/search?tab=default_tab&amp;search_scope=EVERYTHING&amp;vid=01CRU&amp;lang=en_US&amp;offset=0&amp;query=any,contains,991001386279702656","Catalog Record")</f>
        <v>Catalog Record</v>
      </c>
      <c r="AT621" s="6" t="str">
        <f>HYPERLINK("http://www.worldcat.org/oclc/28345418","WorldCat Record")</f>
        <v>WorldCat Record</v>
      </c>
    </row>
    <row r="622" spans="1:46" ht="40.5" customHeight="1" x14ac:dyDescent="0.25">
      <c r="A622" s="8" t="s">
        <v>58</v>
      </c>
      <c r="B622" s="2" t="s">
        <v>4466</v>
      </c>
      <c r="C622" s="2" t="s">
        <v>4467</v>
      </c>
      <c r="D622" s="2" t="s">
        <v>4468</v>
      </c>
      <c r="F622" s="3" t="s">
        <v>58</v>
      </c>
      <c r="G622" s="3" t="s">
        <v>59</v>
      </c>
      <c r="H622" s="3" t="s">
        <v>58</v>
      </c>
      <c r="I622" s="3" t="s">
        <v>58</v>
      </c>
      <c r="J622" s="3" t="s">
        <v>60</v>
      </c>
      <c r="K622" s="2" t="s">
        <v>4469</v>
      </c>
      <c r="L622" s="2" t="s">
        <v>4470</v>
      </c>
      <c r="M622" s="3" t="s">
        <v>1177</v>
      </c>
      <c r="O622" s="3" t="s">
        <v>64</v>
      </c>
      <c r="P622" s="3" t="s">
        <v>1149</v>
      </c>
      <c r="Q622" s="2" t="s">
        <v>4471</v>
      </c>
      <c r="R622" s="3" t="s">
        <v>1346</v>
      </c>
      <c r="S622" s="4">
        <v>4</v>
      </c>
      <c r="T622" s="4">
        <v>4</v>
      </c>
      <c r="U622" s="5" t="s">
        <v>2615</v>
      </c>
      <c r="V622" s="5" t="s">
        <v>2615</v>
      </c>
      <c r="W622" s="5" t="s">
        <v>3753</v>
      </c>
      <c r="X622" s="5" t="s">
        <v>3753</v>
      </c>
      <c r="Y622" s="4">
        <v>150</v>
      </c>
      <c r="Z622" s="4">
        <v>119</v>
      </c>
      <c r="AA622" s="4">
        <v>130</v>
      </c>
      <c r="AB622" s="4">
        <v>1</v>
      </c>
      <c r="AC622" s="4">
        <v>2</v>
      </c>
      <c r="AD622" s="4">
        <v>6</v>
      </c>
      <c r="AE622" s="4">
        <v>8</v>
      </c>
      <c r="AF622" s="4">
        <v>3</v>
      </c>
      <c r="AG622" s="4">
        <v>3</v>
      </c>
      <c r="AH622" s="4">
        <v>1</v>
      </c>
      <c r="AI622" s="4">
        <v>2</v>
      </c>
      <c r="AJ622" s="4">
        <v>2</v>
      </c>
      <c r="AK622" s="4">
        <v>2</v>
      </c>
      <c r="AL622" s="4">
        <v>0</v>
      </c>
      <c r="AM622" s="4">
        <v>1</v>
      </c>
      <c r="AN622" s="4">
        <v>0</v>
      </c>
      <c r="AO622" s="4">
        <v>0</v>
      </c>
      <c r="AP622" s="3" t="s">
        <v>115</v>
      </c>
      <c r="AQ622" s="3" t="s">
        <v>58</v>
      </c>
      <c r="AR622" s="6" t="str">
        <f>HYPERLINK("http://catalog.hathitrust.org/Record/000830593","HathiTrust Record")</f>
        <v>HathiTrust Record</v>
      </c>
      <c r="AS622" s="6" t="str">
        <f>HYPERLINK("https://creighton-primo.hosted.exlibrisgroup.com/primo-explore/search?tab=default_tab&amp;search_scope=EVERYTHING&amp;vid=01CRU&amp;lang=en_US&amp;offset=0&amp;query=any,contains,991000770429702656","Catalog Record")</f>
        <v>Catalog Record</v>
      </c>
      <c r="AT622" s="6" t="str">
        <f>HYPERLINK("http://www.worldcat.org/oclc/23148183","WorldCat Record")</f>
        <v>WorldCat Record</v>
      </c>
    </row>
    <row r="623" spans="1:46" ht="40.5" customHeight="1" x14ac:dyDescent="0.25">
      <c r="A623" s="8" t="s">
        <v>58</v>
      </c>
      <c r="B623" s="2" t="s">
        <v>4472</v>
      </c>
      <c r="C623" s="2" t="s">
        <v>4473</v>
      </c>
      <c r="D623" s="2" t="s">
        <v>4474</v>
      </c>
      <c r="F623" s="3" t="s">
        <v>58</v>
      </c>
      <c r="G623" s="3" t="s">
        <v>59</v>
      </c>
      <c r="H623" s="3" t="s">
        <v>58</v>
      </c>
      <c r="I623" s="3" t="s">
        <v>58</v>
      </c>
      <c r="J623" s="3" t="s">
        <v>60</v>
      </c>
      <c r="K623" s="2" t="s">
        <v>4475</v>
      </c>
      <c r="L623" s="2" t="s">
        <v>4476</v>
      </c>
      <c r="M623" s="3" t="s">
        <v>1177</v>
      </c>
      <c r="O623" s="3" t="s">
        <v>64</v>
      </c>
      <c r="P623" s="3" t="s">
        <v>1355</v>
      </c>
      <c r="R623" s="3" t="s">
        <v>1346</v>
      </c>
      <c r="S623" s="4">
        <v>1</v>
      </c>
      <c r="T623" s="4">
        <v>1</v>
      </c>
      <c r="U623" s="5" t="s">
        <v>4477</v>
      </c>
      <c r="V623" s="5" t="s">
        <v>4477</v>
      </c>
      <c r="W623" s="5" t="s">
        <v>4478</v>
      </c>
      <c r="X623" s="5" t="s">
        <v>4478</v>
      </c>
      <c r="Y623" s="4">
        <v>346</v>
      </c>
      <c r="Z623" s="4">
        <v>313</v>
      </c>
      <c r="AA623" s="4">
        <v>351</v>
      </c>
      <c r="AB623" s="4">
        <v>2</v>
      </c>
      <c r="AC623" s="4">
        <v>3</v>
      </c>
      <c r="AD623" s="4">
        <v>17</v>
      </c>
      <c r="AE623" s="4">
        <v>19</v>
      </c>
      <c r="AF623" s="4">
        <v>3</v>
      </c>
      <c r="AG623" s="4">
        <v>4</v>
      </c>
      <c r="AH623" s="4">
        <v>5</v>
      </c>
      <c r="AI623" s="4">
        <v>5</v>
      </c>
      <c r="AJ623" s="4">
        <v>10</v>
      </c>
      <c r="AK623" s="4">
        <v>11</v>
      </c>
      <c r="AL623" s="4">
        <v>1</v>
      </c>
      <c r="AM623" s="4">
        <v>2</v>
      </c>
      <c r="AN623" s="4">
        <v>1</v>
      </c>
      <c r="AO623" s="4">
        <v>1</v>
      </c>
      <c r="AP623" s="3" t="s">
        <v>58</v>
      </c>
      <c r="AQ623" s="3" t="s">
        <v>115</v>
      </c>
      <c r="AR623" s="6" t="str">
        <f>HYPERLINK("http://catalog.hathitrust.org/Record/000847110","HathiTrust Record")</f>
        <v>HathiTrust Record</v>
      </c>
      <c r="AS623" s="6" t="str">
        <f>HYPERLINK("https://creighton-primo.hosted.exlibrisgroup.com/primo-explore/search?tab=default_tab&amp;search_scope=EVERYTHING&amp;vid=01CRU&amp;lang=en_US&amp;offset=0&amp;query=any,contains,991001187249702656","Catalog Record")</f>
        <v>Catalog Record</v>
      </c>
      <c r="AT623" s="6" t="str">
        <f>HYPERLINK("http://www.worldcat.org/oclc/15017472","WorldCat Record")</f>
        <v>WorldCat Record</v>
      </c>
    </row>
    <row r="624" spans="1:46" ht="40.5" customHeight="1" x14ac:dyDescent="0.25">
      <c r="A624" s="8" t="s">
        <v>58</v>
      </c>
      <c r="B624" s="2" t="s">
        <v>4479</v>
      </c>
      <c r="C624" s="2" t="s">
        <v>4480</v>
      </c>
      <c r="D624" s="2" t="s">
        <v>4481</v>
      </c>
      <c r="F624" s="3" t="s">
        <v>58</v>
      </c>
      <c r="G624" s="3" t="s">
        <v>59</v>
      </c>
      <c r="H624" s="3" t="s">
        <v>58</v>
      </c>
      <c r="I624" s="3" t="s">
        <v>58</v>
      </c>
      <c r="J624" s="3" t="s">
        <v>60</v>
      </c>
      <c r="L624" s="2" t="s">
        <v>4482</v>
      </c>
      <c r="M624" s="3" t="s">
        <v>3298</v>
      </c>
      <c r="O624" s="3" t="s">
        <v>64</v>
      </c>
      <c r="P624" s="3" t="s">
        <v>4483</v>
      </c>
      <c r="R624" s="3" t="s">
        <v>1346</v>
      </c>
      <c r="S624" s="4">
        <v>5</v>
      </c>
      <c r="T624" s="4">
        <v>5</v>
      </c>
      <c r="U624" s="5" t="s">
        <v>4484</v>
      </c>
      <c r="V624" s="5" t="s">
        <v>4484</v>
      </c>
      <c r="W624" s="5" t="s">
        <v>3664</v>
      </c>
      <c r="X624" s="5" t="s">
        <v>3664</v>
      </c>
      <c r="Y624" s="4">
        <v>190</v>
      </c>
      <c r="Z624" s="4">
        <v>180</v>
      </c>
      <c r="AA624" s="4">
        <v>185</v>
      </c>
      <c r="AB624" s="4">
        <v>1</v>
      </c>
      <c r="AC624" s="4">
        <v>1</v>
      </c>
      <c r="AD624" s="4">
        <v>4</v>
      </c>
      <c r="AE624" s="4">
        <v>4</v>
      </c>
      <c r="AF624" s="4">
        <v>2</v>
      </c>
      <c r="AG624" s="4">
        <v>2</v>
      </c>
      <c r="AH624" s="4">
        <v>2</v>
      </c>
      <c r="AI624" s="4">
        <v>2</v>
      </c>
      <c r="AJ624" s="4">
        <v>1</v>
      </c>
      <c r="AK624" s="4">
        <v>1</v>
      </c>
      <c r="AL624" s="4">
        <v>0</v>
      </c>
      <c r="AM624" s="4">
        <v>0</v>
      </c>
      <c r="AN624" s="4">
        <v>0</v>
      </c>
      <c r="AO624" s="4">
        <v>0</v>
      </c>
      <c r="AP624" s="3" t="s">
        <v>58</v>
      </c>
      <c r="AQ624" s="3" t="s">
        <v>115</v>
      </c>
      <c r="AR624" s="6" t="str">
        <f>HYPERLINK("http://catalog.hathitrust.org/Record/001573506","HathiTrust Record")</f>
        <v>HathiTrust Record</v>
      </c>
      <c r="AS624" s="6" t="str">
        <f>HYPERLINK("https://creighton-primo.hosted.exlibrisgroup.com/primo-explore/search?tab=default_tab&amp;search_scope=EVERYTHING&amp;vid=01CRU&amp;lang=en_US&amp;offset=0&amp;query=any,contains,991000964739702656","Catalog Record")</f>
        <v>Catalog Record</v>
      </c>
      <c r="AT624" s="6" t="str">
        <f>HYPERLINK("http://www.worldcat.org/oclc/917999","WorldCat Record")</f>
        <v>WorldCat Record</v>
      </c>
    </row>
    <row r="625" spans="1:46" ht="40.5" customHeight="1" x14ac:dyDescent="0.25">
      <c r="A625" s="8" t="s">
        <v>58</v>
      </c>
      <c r="B625" s="2" t="s">
        <v>4485</v>
      </c>
      <c r="C625" s="2" t="s">
        <v>4486</v>
      </c>
      <c r="D625" s="2" t="s">
        <v>4487</v>
      </c>
      <c r="F625" s="3" t="s">
        <v>58</v>
      </c>
      <c r="G625" s="3" t="s">
        <v>59</v>
      </c>
      <c r="H625" s="3" t="s">
        <v>58</v>
      </c>
      <c r="I625" s="3" t="s">
        <v>58</v>
      </c>
      <c r="J625" s="3" t="s">
        <v>60</v>
      </c>
      <c r="K625" s="2" t="s">
        <v>4488</v>
      </c>
      <c r="L625" s="2" t="s">
        <v>4489</v>
      </c>
      <c r="M625" s="3" t="s">
        <v>2284</v>
      </c>
      <c r="O625" s="3" t="s">
        <v>64</v>
      </c>
      <c r="P625" s="3" t="s">
        <v>265</v>
      </c>
      <c r="R625" s="3" t="s">
        <v>1346</v>
      </c>
      <c r="S625" s="4">
        <v>11</v>
      </c>
      <c r="T625" s="4">
        <v>11</v>
      </c>
      <c r="U625" s="5" t="s">
        <v>4490</v>
      </c>
      <c r="V625" s="5" t="s">
        <v>4490</v>
      </c>
      <c r="W625" s="5" t="s">
        <v>4439</v>
      </c>
      <c r="X625" s="5" t="s">
        <v>4439</v>
      </c>
      <c r="Y625" s="4">
        <v>228</v>
      </c>
      <c r="Z625" s="4">
        <v>134</v>
      </c>
      <c r="AA625" s="4">
        <v>136</v>
      </c>
      <c r="AB625" s="4">
        <v>3</v>
      </c>
      <c r="AC625" s="4">
        <v>3</v>
      </c>
      <c r="AD625" s="4">
        <v>8</v>
      </c>
      <c r="AE625" s="4">
        <v>8</v>
      </c>
      <c r="AF625" s="4">
        <v>3</v>
      </c>
      <c r="AG625" s="4">
        <v>3</v>
      </c>
      <c r="AH625" s="4">
        <v>1</v>
      </c>
      <c r="AI625" s="4">
        <v>1</v>
      </c>
      <c r="AJ625" s="4">
        <v>3</v>
      </c>
      <c r="AK625" s="4">
        <v>3</v>
      </c>
      <c r="AL625" s="4">
        <v>2</v>
      </c>
      <c r="AM625" s="4">
        <v>2</v>
      </c>
      <c r="AN625" s="4">
        <v>0</v>
      </c>
      <c r="AO625" s="4">
        <v>0</v>
      </c>
      <c r="AP625" s="3" t="s">
        <v>58</v>
      </c>
      <c r="AQ625" s="3" t="s">
        <v>115</v>
      </c>
      <c r="AR625" s="6" t="str">
        <f>HYPERLINK("http://catalog.hathitrust.org/Record/001579342","HathiTrust Record")</f>
        <v>HathiTrust Record</v>
      </c>
      <c r="AS625" s="6" t="str">
        <f>HYPERLINK("https://creighton-primo.hosted.exlibrisgroup.com/primo-explore/search?tab=default_tab&amp;search_scope=EVERYTHING&amp;vid=01CRU&amp;lang=en_US&amp;offset=0&amp;query=any,contains,991000964699702656","Catalog Record")</f>
        <v>Catalog Record</v>
      </c>
      <c r="AT625" s="6" t="str">
        <f>HYPERLINK("http://www.worldcat.org/oclc/14618668","WorldCat Record")</f>
        <v>WorldCat Record</v>
      </c>
    </row>
    <row r="626" spans="1:46" ht="40.5" customHeight="1" x14ac:dyDescent="0.25">
      <c r="A626" s="8" t="s">
        <v>58</v>
      </c>
      <c r="B626" s="2" t="s">
        <v>4491</v>
      </c>
      <c r="C626" s="2" t="s">
        <v>4492</v>
      </c>
      <c r="D626" s="2" t="s">
        <v>4493</v>
      </c>
      <c r="F626" s="3" t="s">
        <v>58</v>
      </c>
      <c r="G626" s="3" t="s">
        <v>59</v>
      </c>
      <c r="H626" s="3" t="s">
        <v>58</v>
      </c>
      <c r="I626" s="3" t="s">
        <v>58</v>
      </c>
      <c r="J626" s="3" t="s">
        <v>60</v>
      </c>
      <c r="K626" s="2" t="s">
        <v>4494</v>
      </c>
      <c r="M626" s="3" t="s">
        <v>698</v>
      </c>
      <c r="O626" s="3" t="s">
        <v>64</v>
      </c>
      <c r="P626" s="3" t="s">
        <v>4495</v>
      </c>
      <c r="R626" s="3" t="s">
        <v>1346</v>
      </c>
      <c r="S626" s="4">
        <v>5</v>
      </c>
      <c r="T626" s="4">
        <v>5</v>
      </c>
      <c r="U626" s="5" t="s">
        <v>3566</v>
      </c>
      <c r="V626" s="5" t="s">
        <v>3566</v>
      </c>
      <c r="W626" s="5" t="s">
        <v>3664</v>
      </c>
      <c r="X626" s="5" t="s">
        <v>3664</v>
      </c>
      <c r="Y626" s="4">
        <v>123</v>
      </c>
      <c r="Z626" s="4">
        <v>116</v>
      </c>
      <c r="AA626" s="4">
        <v>118</v>
      </c>
      <c r="AB626" s="4">
        <v>1</v>
      </c>
      <c r="AC626" s="4">
        <v>1</v>
      </c>
      <c r="AD626" s="4">
        <v>2</v>
      </c>
      <c r="AE626" s="4">
        <v>2</v>
      </c>
      <c r="AF626" s="4">
        <v>1</v>
      </c>
      <c r="AG626" s="4">
        <v>1</v>
      </c>
      <c r="AH626" s="4">
        <v>1</v>
      </c>
      <c r="AI626" s="4">
        <v>1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3" t="s">
        <v>58</v>
      </c>
      <c r="AQ626" s="3" t="s">
        <v>115</v>
      </c>
      <c r="AR626" s="6" t="str">
        <f>HYPERLINK("http://catalog.hathitrust.org/Record/000145105","HathiTrust Record")</f>
        <v>HathiTrust Record</v>
      </c>
      <c r="AS626" s="6" t="str">
        <f>HYPERLINK("https://creighton-primo.hosted.exlibrisgroup.com/primo-explore/search?tab=default_tab&amp;search_scope=EVERYTHING&amp;vid=01CRU&amp;lang=en_US&amp;offset=0&amp;query=any,contains,991000964519702656","Catalog Record")</f>
        <v>Catalog Record</v>
      </c>
      <c r="AT626" s="6" t="str">
        <f>HYPERLINK("http://www.worldcat.org/oclc/794102","WorldCat Record")</f>
        <v>WorldCat Record</v>
      </c>
    </row>
    <row r="627" spans="1:46" ht="40.5" customHeight="1" x14ac:dyDescent="0.25">
      <c r="A627" s="8" t="s">
        <v>58</v>
      </c>
      <c r="B627" s="2" t="s">
        <v>4496</v>
      </c>
      <c r="C627" s="2" t="s">
        <v>4497</v>
      </c>
      <c r="D627" s="2" t="s">
        <v>4498</v>
      </c>
      <c r="F627" s="3" t="s">
        <v>58</v>
      </c>
      <c r="G627" s="3" t="s">
        <v>59</v>
      </c>
      <c r="H627" s="3" t="s">
        <v>58</v>
      </c>
      <c r="I627" s="3" t="s">
        <v>58</v>
      </c>
      <c r="J627" s="3" t="s">
        <v>60</v>
      </c>
      <c r="K627" s="2" t="s">
        <v>4499</v>
      </c>
      <c r="L627" s="2" t="s">
        <v>4500</v>
      </c>
      <c r="M627" s="3" t="s">
        <v>4501</v>
      </c>
      <c r="O627" s="3" t="s">
        <v>64</v>
      </c>
      <c r="P627" s="3" t="s">
        <v>65</v>
      </c>
      <c r="R627" s="3" t="s">
        <v>1346</v>
      </c>
      <c r="S627" s="4">
        <v>1</v>
      </c>
      <c r="T627" s="4">
        <v>1</v>
      </c>
      <c r="U627" s="5" t="s">
        <v>1647</v>
      </c>
      <c r="V627" s="5" t="s">
        <v>1647</v>
      </c>
      <c r="W627" s="5" t="s">
        <v>4439</v>
      </c>
      <c r="X627" s="5" t="s">
        <v>4439</v>
      </c>
      <c r="Y627" s="4">
        <v>325</v>
      </c>
      <c r="Z627" s="4">
        <v>310</v>
      </c>
      <c r="AA627" s="4">
        <v>554</v>
      </c>
      <c r="AB627" s="4">
        <v>4</v>
      </c>
      <c r="AC627" s="4">
        <v>7</v>
      </c>
      <c r="AD627" s="4">
        <v>13</v>
      </c>
      <c r="AE627" s="4">
        <v>24</v>
      </c>
      <c r="AF627" s="4">
        <v>5</v>
      </c>
      <c r="AG627" s="4">
        <v>9</v>
      </c>
      <c r="AH627" s="4">
        <v>3</v>
      </c>
      <c r="AI627" s="4">
        <v>3</v>
      </c>
      <c r="AJ627" s="4">
        <v>7</v>
      </c>
      <c r="AK627" s="4">
        <v>12</v>
      </c>
      <c r="AL627" s="4">
        <v>3</v>
      </c>
      <c r="AM627" s="4">
        <v>6</v>
      </c>
      <c r="AN627" s="4">
        <v>0</v>
      </c>
      <c r="AO627" s="4">
        <v>0</v>
      </c>
      <c r="AP627" s="3" t="s">
        <v>58</v>
      </c>
      <c r="AQ627" s="3" t="s">
        <v>115</v>
      </c>
      <c r="AR627" s="6" t="str">
        <f>HYPERLINK("http://catalog.hathitrust.org/Record/001573558","HathiTrust Record")</f>
        <v>HathiTrust Record</v>
      </c>
      <c r="AS627" s="6" t="str">
        <f>HYPERLINK("https://creighton-primo.hosted.exlibrisgroup.com/primo-explore/search?tab=default_tab&amp;search_scope=EVERYTHING&amp;vid=01CRU&amp;lang=en_US&amp;offset=0&amp;query=any,contains,991000964449702656","Catalog Record")</f>
        <v>Catalog Record</v>
      </c>
      <c r="AT627" s="6" t="str">
        <f>HYPERLINK("http://www.worldcat.org/oclc/992904","WorldCat Record")</f>
        <v>WorldCat Record</v>
      </c>
    </row>
    <row r="628" spans="1:46" ht="40.5" customHeight="1" x14ac:dyDescent="0.25">
      <c r="A628" s="8" t="s">
        <v>58</v>
      </c>
      <c r="B628" s="2" t="s">
        <v>4502</v>
      </c>
      <c r="C628" s="2" t="s">
        <v>4503</v>
      </c>
      <c r="D628" s="2" t="s">
        <v>4504</v>
      </c>
      <c r="F628" s="3" t="s">
        <v>58</v>
      </c>
      <c r="G628" s="3" t="s">
        <v>59</v>
      </c>
      <c r="H628" s="3" t="s">
        <v>58</v>
      </c>
      <c r="I628" s="3" t="s">
        <v>58</v>
      </c>
      <c r="J628" s="3" t="s">
        <v>60</v>
      </c>
      <c r="L628" s="2" t="s">
        <v>4505</v>
      </c>
      <c r="M628" s="3" t="s">
        <v>4506</v>
      </c>
      <c r="N628" s="2" t="s">
        <v>174</v>
      </c>
      <c r="O628" s="3" t="s">
        <v>64</v>
      </c>
      <c r="P628" s="3" t="s">
        <v>4451</v>
      </c>
      <c r="R628" s="3" t="s">
        <v>1346</v>
      </c>
      <c r="S628" s="4">
        <v>2</v>
      </c>
      <c r="T628" s="4">
        <v>2</v>
      </c>
      <c r="U628" s="5" t="s">
        <v>2615</v>
      </c>
      <c r="V628" s="5" t="s">
        <v>2615</v>
      </c>
      <c r="W628" s="5" t="s">
        <v>3664</v>
      </c>
      <c r="X628" s="5" t="s">
        <v>3664</v>
      </c>
      <c r="Y628" s="4">
        <v>33</v>
      </c>
      <c r="Z628" s="4">
        <v>30</v>
      </c>
      <c r="AA628" s="4">
        <v>32</v>
      </c>
      <c r="AB628" s="4">
        <v>1</v>
      </c>
      <c r="AC628" s="4">
        <v>1</v>
      </c>
      <c r="AD628" s="4">
        <v>1</v>
      </c>
      <c r="AE628" s="4">
        <v>1</v>
      </c>
      <c r="AF628" s="4">
        <v>0</v>
      </c>
      <c r="AG628" s="4">
        <v>0</v>
      </c>
      <c r="AH628" s="4">
        <v>1</v>
      </c>
      <c r="AI628" s="4">
        <v>1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3" t="s">
        <v>58</v>
      </c>
      <c r="AQ628" s="3" t="s">
        <v>115</v>
      </c>
      <c r="AR628" s="6" t="str">
        <f>HYPERLINK("http://catalog.hathitrust.org/Record/001573545","HathiTrust Record")</f>
        <v>HathiTrust Record</v>
      </c>
      <c r="AS628" s="6" t="str">
        <f>HYPERLINK("https://creighton-primo.hosted.exlibrisgroup.com/primo-explore/search?tab=default_tab&amp;search_scope=EVERYTHING&amp;vid=01CRU&amp;lang=en_US&amp;offset=0&amp;query=any,contains,991000965269702656","Catalog Record")</f>
        <v>Catalog Record</v>
      </c>
      <c r="AT628" s="6" t="str">
        <f>HYPERLINK("http://www.worldcat.org/oclc/5813193","WorldCat Record")</f>
        <v>WorldCat Record</v>
      </c>
    </row>
    <row r="629" spans="1:46" ht="40.5" customHeight="1" x14ac:dyDescent="0.25">
      <c r="A629" s="8" t="s">
        <v>58</v>
      </c>
      <c r="B629" s="2" t="s">
        <v>4507</v>
      </c>
      <c r="C629" s="2" t="s">
        <v>4508</v>
      </c>
      <c r="D629" s="2" t="s">
        <v>4509</v>
      </c>
      <c r="F629" s="3" t="s">
        <v>58</v>
      </c>
      <c r="G629" s="3" t="s">
        <v>59</v>
      </c>
      <c r="H629" s="3" t="s">
        <v>58</v>
      </c>
      <c r="I629" s="3" t="s">
        <v>58</v>
      </c>
      <c r="J629" s="3" t="s">
        <v>60</v>
      </c>
      <c r="L629" s="2" t="s">
        <v>4510</v>
      </c>
      <c r="M629" s="3" t="s">
        <v>173</v>
      </c>
      <c r="O629" s="3" t="s">
        <v>64</v>
      </c>
      <c r="P629" s="3" t="s">
        <v>1374</v>
      </c>
      <c r="R629" s="3" t="s">
        <v>1346</v>
      </c>
      <c r="S629" s="4">
        <v>6</v>
      </c>
      <c r="T629" s="4">
        <v>6</v>
      </c>
      <c r="U629" s="5" t="s">
        <v>4511</v>
      </c>
      <c r="V629" s="5" t="s">
        <v>4511</v>
      </c>
      <c r="W629" s="5" t="s">
        <v>4512</v>
      </c>
      <c r="X629" s="5" t="s">
        <v>4512</v>
      </c>
      <c r="Y629" s="4">
        <v>21</v>
      </c>
      <c r="Z629" s="4">
        <v>21</v>
      </c>
      <c r="AA629" s="4">
        <v>43</v>
      </c>
      <c r="AB629" s="4">
        <v>1</v>
      </c>
      <c r="AC629" s="4">
        <v>1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3" t="s">
        <v>58</v>
      </c>
      <c r="AQ629" s="3" t="s">
        <v>58</v>
      </c>
      <c r="AS629" s="6" t="str">
        <f>HYPERLINK("https://creighton-primo.hosted.exlibrisgroup.com/primo-explore/search?tab=default_tab&amp;search_scope=EVERYTHING&amp;vid=01CRU&amp;lang=en_US&amp;offset=0&amp;query=any,contains,991001335839702656","Catalog Record")</f>
        <v>Catalog Record</v>
      </c>
      <c r="AT629" s="6" t="str">
        <f>HYPERLINK("http://www.worldcat.org/oclc/31733205","WorldCat Record")</f>
        <v>WorldCat Record</v>
      </c>
    </row>
    <row r="630" spans="1:46" ht="40.5" customHeight="1" x14ac:dyDescent="0.25">
      <c r="A630" s="8" t="s">
        <v>58</v>
      </c>
      <c r="B630" s="2" t="s">
        <v>4513</v>
      </c>
      <c r="C630" s="2" t="s">
        <v>4514</v>
      </c>
      <c r="D630" s="2" t="s">
        <v>4515</v>
      </c>
      <c r="F630" s="3" t="s">
        <v>58</v>
      </c>
      <c r="G630" s="3" t="s">
        <v>59</v>
      </c>
      <c r="H630" s="3" t="s">
        <v>58</v>
      </c>
      <c r="I630" s="3" t="s">
        <v>58</v>
      </c>
      <c r="J630" s="3" t="s">
        <v>60</v>
      </c>
      <c r="L630" s="2" t="s">
        <v>4516</v>
      </c>
      <c r="M630" s="3" t="s">
        <v>380</v>
      </c>
      <c r="O630" s="3" t="s">
        <v>64</v>
      </c>
      <c r="P630" s="3" t="s">
        <v>4517</v>
      </c>
      <c r="R630" s="3" t="s">
        <v>1346</v>
      </c>
      <c r="S630" s="4">
        <v>23</v>
      </c>
      <c r="T630" s="4">
        <v>23</v>
      </c>
      <c r="U630" s="5" t="s">
        <v>4518</v>
      </c>
      <c r="V630" s="5" t="s">
        <v>4518</v>
      </c>
      <c r="W630" s="5" t="s">
        <v>1778</v>
      </c>
      <c r="X630" s="5" t="s">
        <v>1778</v>
      </c>
      <c r="Y630" s="4">
        <v>46</v>
      </c>
      <c r="Z630" s="4">
        <v>38</v>
      </c>
      <c r="AA630" s="4">
        <v>43</v>
      </c>
      <c r="AB630" s="4">
        <v>1</v>
      </c>
      <c r="AC630" s="4">
        <v>1</v>
      </c>
      <c r="AD630" s="4">
        <v>2</v>
      </c>
      <c r="AE630" s="4">
        <v>2</v>
      </c>
      <c r="AF630" s="4">
        <v>2</v>
      </c>
      <c r="AG630" s="4">
        <v>2</v>
      </c>
      <c r="AH630" s="4">
        <v>1</v>
      </c>
      <c r="AI630" s="4">
        <v>1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3" t="s">
        <v>58</v>
      </c>
      <c r="AQ630" s="3" t="s">
        <v>58</v>
      </c>
      <c r="AS630" s="6" t="str">
        <f>HYPERLINK("https://creighton-primo.hosted.exlibrisgroup.com/primo-explore/search?tab=default_tab&amp;search_scope=EVERYTHING&amp;vid=01CRU&amp;lang=en_US&amp;offset=0&amp;query=any,contains,991001511869702656","Catalog Record")</f>
        <v>Catalog Record</v>
      </c>
      <c r="AT630" s="6" t="str">
        <f>HYPERLINK("http://www.worldcat.org/oclc/27097639","WorldCat Record")</f>
        <v>WorldCat Record</v>
      </c>
    </row>
    <row r="631" spans="1:46" ht="40.5" customHeight="1" x14ac:dyDescent="0.25">
      <c r="A631" s="8" t="s">
        <v>58</v>
      </c>
      <c r="B631" s="2" t="s">
        <v>4519</v>
      </c>
      <c r="C631" s="2" t="s">
        <v>4520</v>
      </c>
      <c r="D631" s="2" t="s">
        <v>4521</v>
      </c>
      <c r="F631" s="3" t="s">
        <v>58</v>
      </c>
      <c r="G631" s="3" t="s">
        <v>59</v>
      </c>
      <c r="H631" s="3" t="s">
        <v>58</v>
      </c>
      <c r="I631" s="3" t="s">
        <v>58</v>
      </c>
      <c r="J631" s="3" t="s">
        <v>60</v>
      </c>
      <c r="L631" s="2" t="s">
        <v>4522</v>
      </c>
      <c r="M631" s="3" t="s">
        <v>95</v>
      </c>
      <c r="N631" s="2" t="s">
        <v>143</v>
      </c>
      <c r="O631" s="3" t="s">
        <v>64</v>
      </c>
      <c r="P631" s="3" t="s">
        <v>643</v>
      </c>
      <c r="R631" s="3" t="s">
        <v>1346</v>
      </c>
      <c r="S631" s="4">
        <v>9</v>
      </c>
      <c r="T631" s="4">
        <v>9</v>
      </c>
      <c r="U631" s="5" t="s">
        <v>4523</v>
      </c>
      <c r="V631" s="5" t="s">
        <v>4523</v>
      </c>
      <c r="W631" s="5" t="s">
        <v>4524</v>
      </c>
      <c r="X631" s="5" t="s">
        <v>4524</v>
      </c>
      <c r="Y631" s="4">
        <v>75</v>
      </c>
      <c r="Z631" s="4">
        <v>43</v>
      </c>
      <c r="AA631" s="4">
        <v>48</v>
      </c>
      <c r="AB631" s="4">
        <v>1</v>
      </c>
      <c r="AC631" s="4">
        <v>1</v>
      </c>
      <c r="AD631" s="4">
        <v>4</v>
      </c>
      <c r="AE631" s="4">
        <v>4</v>
      </c>
      <c r="AF631" s="4">
        <v>3</v>
      </c>
      <c r="AG631" s="4">
        <v>3</v>
      </c>
      <c r="AH631" s="4">
        <v>2</v>
      </c>
      <c r="AI631" s="4">
        <v>2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3" t="s">
        <v>58</v>
      </c>
      <c r="AQ631" s="3" t="s">
        <v>58</v>
      </c>
      <c r="AS631" s="6" t="str">
        <f>HYPERLINK("https://creighton-primo.hosted.exlibrisgroup.com/primo-explore/search?tab=default_tab&amp;search_scope=EVERYTHING&amp;vid=01CRU&amp;lang=en_US&amp;offset=0&amp;query=any,contains,991000335669702656","Catalog Record")</f>
        <v>Catalog Record</v>
      </c>
      <c r="AT631" s="6" t="str">
        <f>HYPERLINK("http://www.worldcat.org/oclc/45420291","WorldCat Record")</f>
        <v>WorldCat Record</v>
      </c>
    </row>
    <row r="632" spans="1:46" ht="40.5" customHeight="1" x14ac:dyDescent="0.25">
      <c r="A632" s="8" t="s">
        <v>58</v>
      </c>
      <c r="B632" s="2" t="s">
        <v>4525</v>
      </c>
      <c r="C632" s="2" t="s">
        <v>4526</v>
      </c>
      <c r="D632" s="2" t="s">
        <v>4527</v>
      </c>
      <c r="F632" s="3" t="s">
        <v>58</v>
      </c>
      <c r="G632" s="3" t="s">
        <v>59</v>
      </c>
      <c r="H632" s="3" t="s">
        <v>58</v>
      </c>
      <c r="I632" s="3" t="s">
        <v>115</v>
      </c>
      <c r="J632" s="3" t="s">
        <v>60</v>
      </c>
      <c r="K632" s="2" t="s">
        <v>4528</v>
      </c>
      <c r="L632" s="2" t="s">
        <v>4529</v>
      </c>
      <c r="M632" s="3" t="s">
        <v>2202</v>
      </c>
      <c r="N632" s="2" t="s">
        <v>4530</v>
      </c>
      <c r="O632" s="3" t="s">
        <v>64</v>
      </c>
      <c r="P632" s="3" t="s">
        <v>2571</v>
      </c>
      <c r="R632" s="3" t="s">
        <v>1346</v>
      </c>
      <c r="S632" s="4">
        <v>44</v>
      </c>
      <c r="T632" s="4">
        <v>44</v>
      </c>
      <c r="U632" s="5" t="s">
        <v>4531</v>
      </c>
      <c r="V632" s="5" t="s">
        <v>4531</v>
      </c>
      <c r="W632" s="5" t="s">
        <v>4532</v>
      </c>
      <c r="X632" s="5" t="s">
        <v>4532</v>
      </c>
      <c r="Y632" s="4">
        <v>35</v>
      </c>
      <c r="Z632" s="4">
        <v>29</v>
      </c>
      <c r="AA632" s="4">
        <v>301</v>
      </c>
      <c r="AB632" s="4">
        <v>1</v>
      </c>
      <c r="AC632" s="4">
        <v>2</v>
      </c>
      <c r="AD632" s="4">
        <v>1</v>
      </c>
      <c r="AE632" s="4">
        <v>9</v>
      </c>
      <c r="AF632" s="4">
        <v>0</v>
      </c>
      <c r="AG632" s="4">
        <v>4</v>
      </c>
      <c r="AH632" s="4">
        <v>1</v>
      </c>
      <c r="AI632" s="4">
        <v>3</v>
      </c>
      <c r="AJ632" s="4">
        <v>0</v>
      </c>
      <c r="AK632" s="4">
        <v>2</v>
      </c>
      <c r="AL632" s="4">
        <v>0</v>
      </c>
      <c r="AM632" s="4">
        <v>1</v>
      </c>
      <c r="AN632" s="4">
        <v>0</v>
      </c>
      <c r="AO632" s="4">
        <v>0</v>
      </c>
      <c r="AP632" s="3" t="s">
        <v>58</v>
      </c>
      <c r="AQ632" s="3" t="s">
        <v>115</v>
      </c>
      <c r="AR632" s="6" t="str">
        <f>HYPERLINK("http://catalog.hathitrust.org/Record/004064787","HathiTrust Record")</f>
        <v>HathiTrust Record</v>
      </c>
      <c r="AS632" s="6" t="str">
        <f>HYPERLINK("https://creighton-primo.hosted.exlibrisgroup.com/primo-explore/search?tab=default_tab&amp;search_scope=EVERYTHING&amp;vid=01CRU&amp;lang=en_US&amp;offset=0&amp;query=any,contains,991001410399702656","Catalog Record")</f>
        <v>Catalog Record</v>
      </c>
      <c r="AT632" s="6" t="str">
        <f>HYPERLINK("http://www.worldcat.org/oclc/43273376","WorldCat Record")</f>
        <v>WorldCat Record</v>
      </c>
    </row>
    <row r="633" spans="1:46" ht="40.5" customHeight="1" x14ac:dyDescent="0.25">
      <c r="A633" s="8" t="s">
        <v>58</v>
      </c>
      <c r="B633" s="2" t="s">
        <v>4533</v>
      </c>
      <c r="C633" s="2" t="s">
        <v>4534</v>
      </c>
      <c r="D633" s="2" t="s">
        <v>4535</v>
      </c>
      <c r="F633" s="3" t="s">
        <v>58</v>
      </c>
      <c r="G633" s="3" t="s">
        <v>59</v>
      </c>
      <c r="H633" s="3" t="s">
        <v>58</v>
      </c>
      <c r="I633" s="3" t="s">
        <v>115</v>
      </c>
      <c r="J633" s="3" t="s">
        <v>60</v>
      </c>
      <c r="K633" s="2" t="s">
        <v>4536</v>
      </c>
      <c r="L633" s="2" t="s">
        <v>2157</v>
      </c>
      <c r="M633" s="3" t="s">
        <v>892</v>
      </c>
      <c r="N633" s="2" t="s">
        <v>174</v>
      </c>
      <c r="O633" s="3" t="s">
        <v>64</v>
      </c>
      <c r="P633" s="3" t="s">
        <v>643</v>
      </c>
      <c r="R633" s="3" t="s">
        <v>1346</v>
      </c>
      <c r="S633" s="4">
        <v>10</v>
      </c>
      <c r="T633" s="4">
        <v>10</v>
      </c>
      <c r="U633" s="5" t="s">
        <v>4537</v>
      </c>
      <c r="V633" s="5" t="s">
        <v>4537</v>
      </c>
      <c r="W633" s="5" t="s">
        <v>2425</v>
      </c>
      <c r="X633" s="5" t="s">
        <v>2425</v>
      </c>
      <c r="Y633" s="4">
        <v>61</v>
      </c>
      <c r="Z633" s="4">
        <v>40</v>
      </c>
      <c r="AA633" s="4">
        <v>142</v>
      </c>
      <c r="AB633" s="4">
        <v>1</v>
      </c>
      <c r="AC633" s="4">
        <v>2</v>
      </c>
      <c r="AD633" s="4">
        <v>2</v>
      </c>
      <c r="AE633" s="4">
        <v>9</v>
      </c>
      <c r="AF633" s="4">
        <v>1</v>
      </c>
      <c r="AG633" s="4">
        <v>5</v>
      </c>
      <c r="AH633" s="4">
        <v>1</v>
      </c>
      <c r="AI633" s="4">
        <v>3</v>
      </c>
      <c r="AJ633" s="4">
        <v>0</v>
      </c>
      <c r="AK633" s="4">
        <v>2</v>
      </c>
      <c r="AL633" s="4">
        <v>0</v>
      </c>
      <c r="AM633" s="4">
        <v>1</v>
      </c>
      <c r="AN633" s="4">
        <v>0</v>
      </c>
      <c r="AO633" s="4">
        <v>0</v>
      </c>
      <c r="AP633" s="3" t="s">
        <v>58</v>
      </c>
      <c r="AQ633" s="3" t="s">
        <v>115</v>
      </c>
      <c r="AR633" s="6" t="str">
        <f>HYPERLINK("http://catalog.hathitrust.org/Record/004012994","HathiTrust Record")</f>
        <v>HathiTrust Record</v>
      </c>
      <c r="AS633" s="6" t="str">
        <f>HYPERLINK("https://creighton-primo.hosted.exlibrisgroup.com/primo-explore/search?tab=default_tab&amp;search_scope=EVERYTHING&amp;vid=01CRU&amp;lang=en_US&amp;offset=0&amp;query=any,contains,991001440489702656","Catalog Record")</f>
        <v>Catalog Record</v>
      </c>
      <c r="AT633" s="6" t="str">
        <f>HYPERLINK("http://www.worldcat.org/oclc/38562176","WorldCat Record")</f>
        <v>WorldCat Record</v>
      </c>
    </row>
    <row r="634" spans="1:46" ht="40.5" customHeight="1" x14ac:dyDescent="0.25">
      <c r="A634" s="8" t="s">
        <v>58</v>
      </c>
      <c r="B634" s="2" t="s">
        <v>4538</v>
      </c>
      <c r="C634" s="2" t="s">
        <v>4539</v>
      </c>
      <c r="D634" s="2" t="s">
        <v>4540</v>
      </c>
      <c r="F634" s="3" t="s">
        <v>58</v>
      </c>
      <c r="G634" s="3" t="s">
        <v>59</v>
      </c>
      <c r="H634" s="3" t="s">
        <v>58</v>
      </c>
      <c r="I634" s="3" t="s">
        <v>58</v>
      </c>
      <c r="J634" s="3" t="s">
        <v>60</v>
      </c>
      <c r="K634" s="2" t="s">
        <v>4541</v>
      </c>
      <c r="L634" s="2" t="s">
        <v>3850</v>
      </c>
      <c r="M634" s="3" t="s">
        <v>336</v>
      </c>
      <c r="O634" s="3" t="s">
        <v>64</v>
      </c>
      <c r="P634" s="3" t="s">
        <v>1355</v>
      </c>
      <c r="R634" s="3" t="s">
        <v>1346</v>
      </c>
      <c r="S634" s="4">
        <v>4</v>
      </c>
      <c r="T634" s="4">
        <v>4</v>
      </c>
      <c r="U634" s="5" t="s">
        <v>4490</v>
      </c>
      <c r="V634" s="5" t="s">
        <v>4490</v>
      </c>
      <c r="W634" s="5" t="s">
        <v>3664</v>
      </c>
      <c r="X634" s="5" t="s">
        <v>3664</v>
      </c>
      <c r="Y634" s="4">
        <v>9</v>
      </c>
      <c r="Z634" s="4">
        <v>7</v>
      </c>
      <c r="AA634" s="4">
        <v>188</v>
      </c>
      <c r="AB634" s="4">
        <v>1</v>
      </c>
      <c r="AC634" s="4">
        <v>2</v>
      </c>
      <c r="AD634" s="4">
        <v>0</v>
      </c>
      <c r="AE634" s="4">
        <v>5</v>
      </c>
      <c r="AF634" s="4">
        <v>0</v>
      </c>
      <c r="AG634" s="4">
        <v>2</v>
      </c>
      <c r="AH634" s="4">
        <v>0</v>
      </c>
      <c r="AI634" s="4">
        <v>1</v>
      </c>
      <c r="AJ634" s="4">
        <v>0</v>
      </c>
      <c r="AK634" s="4">
        <v>1</v>
      </c>
      <c r="AL634" s="4">
        <v>0</v>
      </c>
      <c r="AM634" s="4">
        <v>1</v>
      </c>
      <c r="AN634" s="4">
        <v>0</v>
      </c>
      <c r="AO634" s="4">
        <v>1</v>
      </c>
      <c r="AP634" s="3" t="s">
        <v>58</v>
      </c>
      <c r="AQ634" s="3" t="s">
        <v>58</v>
      </c>
      <c r="AS634" s="6" t="str">
        <f>HYPERLINK("https://creighton-primo.hosted.exlibrisgroup.com/primo-explore/search?tab=default_tab&amp;search_scope=EVERYTHING&amp;vid=01CRU&amp;lang=en_US&amp;offset=0&amp;query=any,contains,991000965199702656","Catalog Record")</f>
        <v>Catalog Record</v>
      </c>
      <c r="AT634" s="6" t="str">
        <f>HYPERLINK("http://www.worldcat.org/oclc/7716894","WorldCat Record")</f>
        <v>WorldCat Record</v>
      </c>
    </row>
    <row r="635" spans="1:46" ht="40.5" customHeight="1" x14ac:dyDescent="0.25">
      <c r="A635" s="8" t="s">
        <v>58</v>
      </c>
      <c r="B635" s="2" t="s">
        <v>4542</v>
      </c>
      <c r="C635" s="2" t="s">
        <v>4543</v>
      </c>
      <c r="D635" s="2" t="s">
        <v>4544</v>
      </c>
      <c r="F635" s="3" t="s">
        <v>58</v>
      </c>
      <c r="G635" s="3" t="s">
        <v>59</v>
      </c>
      <c r="H635" s="3" t="s">
        <v>58</v>
      </c>
      <c r="I635" s="3" t="s">
        <v>58</v>
      </c>
      <c r="J635" s="3" t="s">
        <v>60</v>
      </c>
      <c r="K635" s="2" t="s">
        <v>4545</v>
      </c>
      <c r="L635" s="2" t="s">
        <v>4546</v>
      </c>
      <c r="M635" s="3" t="s">
        <v>380</v>
      </c>
      <c r="O635" s="3" t="s">
        <v>64</v>
      </c>
      <c r="P635" s="3" t="s">
        <v>190</v>
      </c>
      <c r="R635" s="3" t="s">
        <v>1346</v>
      </c>
      <c r="S635" s="4">
        <v>3</v>
      </c>
      <c r="T635" s="4">
        <v>3</v>
      </c>
      <c r="U635" s="5" t="s">
        <v>1850</v>
      </c>
      <c r="V635" s="5" t="s">
        <v>1850</v>
      </c>
      <c r="W635" s="5" t="s">
        <v>1850</v>
      </c>
      <c r="X635" s="5" t="s">
        <v>1850</v>
      </c>
      <c r="Y635" s="4">
        <v>53</v>
      </c>
      <c r="Z635" s="4">
        <v>51</v>
      </c>
      <c r="AA635" s="4">
        <v>83</v>
      </c>
      <c r="AB635" s="4">
        <v>1</v>
      </c>
      <c r="AC635" s="4">
        <v>1</v>
      </c>
      <c r="AD635" s="4">
        <v>2</v>
      </c>
      <c r="AE635" s="4">
        <v>3</v>
      </c>
      <c r="AF635" s="4">
        <v>0</v>
      </c>
      <c r="AG635" s="4">
        <v>1</v>
      </c>
      <c r="AH635" s="4">
        <v>1</v>
      </c>
      <c r="AI635" s="4">
        <v>1</v>
      </c>
      <c r="AJ635" s="4">
        <v>0</v>
      </c>
      <c r="AK635" s="4">
        <v>0</v>
      </c>
      <c r="AL635" s="4">
        <v>0</v>
      </c>
      <c r="AM635" s="4">
        <v>0</v>
      </c>
      <c r="AN635" s="4">
        <v>1</v>
      </c>
      <c r="AO635" s="4">
        <v>1</v>
      </c>
      <c r="AP635" s="3" t="s">
        <v>58</v>
      </c>
      <c r="AQ635" s="3" t="s">
        <v>58</v>
      </c>
      <c r="AS635" s="6" t="str">
        <f>HYPERLINK("https://creighton-primo.hosted.exlibrisgroup.com/primo-explore/search?tab=default_tab&amp;search_scope=EVERYTHING&amp;vid=01CRU&amp;lang=en_US&amp;offset=0&amp;query=any,contains,991001515439702656","Catalog Record")</f>
        <v>Catalog Record</v>
      </c>
      <c r="AT635" s="6" t="str">
        <f>HYPERLINK("http://www.worldcat.org/oclc/28923860","WorldCat Record")</f>
        <v>WorldCat Record</v>
      </c>
    </row>
    <row r="636" spans="1:46" ht="40.5" customHeight="1" x14ac:dyDescent="0.25">
      <c r="A636" s="8" t="s">
        <v>58</v>
      </c>
      <c r="B636" s="2" t="s">
        <v>4547</v>
      </c>
      <c r="C636" s="2" t="s">
        <v>4548</v>
      </c>
      <c r="D636" s="2" t="s">
        <v>4549</v>
      </c>
      <c r="F636" s="3" t="s">
        <v>58</v>
      </c>
      <c r="G636" s="3" t="s">
        <v>59</v>
      </c>
      <c r="H636" s="3" t="s">
        <v>58</v>
      </c>
      <c r="I636" s="3" t="s">
        <v>58</v>
      </c>
      <c r="J636" s="3" t="s">
        <v>60</v>
      </c>
      <c r="K636" s="2" t="s">
        <v>4550</v>
      </c>
      <c r="L636" s="2" t="s">
        <v>1712</v>
      </c>
      <c r="M636" s="3" t="s">
        <v>142</v>
      </c>
      <c r="O636" s="3" t="s">
        <v>64</v>
      </c>
      <c r="P636" s="3" t="s">
        <v>144</v>
      </c>
      <c r="R636" s="3" t="s">
        <v>1346</v>
      </c>
      <c r="S636" s="4">
        <v>4</v>
      </c>
      <c r="T636" s="4">
        <v>4</v>
      </c>
      <c r="U636" s="5" t="s">
        <v>4551</v>
      </c>
      <c r="V636" s="5" t="s">
        <v>4551</v>
      </c>
      <c r="W636" s="5" t="s">
        <v>4551</v>
      </c>
      <c r="X636" s="5" t="s">
        <v>4551</v>
      </c>
      <c r="Y636" s="4">
        <v>46</v>
      </c>
      <c r="Z636" s="4">
        <v>32</v>
      </c>
      <c r="AA636" s="4">
        <v>88</v>
      </c>
      <c r="AB636" s="4">
        <v>1</v>
      </c>
      <c r="AC636" s="4">
        <v>1</v>
      </c>
      <c r="AD636" s="4">
        <v>2</v>
      </c>
      <c r="AE636" s="4">
        <v>6</v>
      </c>
      <c r="AF636" s="4">
        <v>2</v>
      </c>
      <c r="AG636" s="4">
        <v>5</v>
      </c>
      <c r="AH636" s="4">
        <v>0</v>
      </c>
      <c r="AI636" s="4">
        <v>1</v>
      </c>
      <c r="AJ636" s="4">
        <v>0</v>
      </c>
      <c r="AK636" s="4">
        <v>1</v>
      </c>
      <c r="AL636" s="4">
        <v>0</v>
      </c>
      <c r="AM636" s="4">
        <v>0</v>
      </c>
      <c r="AN636" s="4">
        <v>0</v>
      </c>
      <c r="AO636" s="4">
        <v>0</v>
      </c>
      <c r="AP636" s="3" t="s">
        <v>58</v>
      </c>
      <c r="AQ636" s="3" t="s">
        <v>115</v>
      </c>
      <c r="AR636" s="6" t="str">
        <f>HYPERLINK("http://catalog.hathitrust.org/Record/002235191","HathiTrust Record")</f>
        <v>HathiTrust Record</v>
      </c>
      <c r="AS636" s="6" t="str">
        <f>HYPERLINK("https://creighton-primo.hosted.exlibrisgroup.com/primo-explore/search?tab=default_tab&amp;search_scope=EVERYTHING&amp;vid=01CRU&amp;lang=en_US&amp;offset=0&amp;query=any,contains,991000772139702656","Catalog Record")</f>
        <v>Catalog Record</v>
      </c>
      <c r="AT636" s="6" t="str">
        <f>HYPERLINK("http://www.worldcat.org/oclc/21336618","WorldCat Record")</f>
        <v>WorldCat Record</v>
      </c>
    </row>
    <row r="637" spans="1:46" ht="40.5" customHeight="1" x14ac:dyDescent="0.25">
      <c r="A637" s="8" t="s">
        <v>58</v>
      </c>
      <c r="B637" s="2" t="s">
        <v>4552</v>
      </c>
      <c r="C637" s="2" t="s">
        <v>4553</v>
      </c>
      <c r="D637" s="2" t="s">
        <v>4554</v>
      </c>
      <c r="F637" s="3" t="s">
        <v>58</v>
      </c>
      <c r="G637" s="3" t="s">
        <v>59</v>
      </c>
      <c r="H637" s="3" t="s">
        <v>58</v>
      </c>
      <c r="I637" s="3" t="s">
        <v>58</v>
      </c>
      <c r="J637" s="3" t="s">
        <v>60</v>
      </c>
      <c r="L637" s="2" t="s">
        <v>4555</v>
      </c>
      <c r="M637" s="3" t="s">
        <v>380</v>
      </c>
      <c r="O637" s="3" t="s">
        <v>64</v>
      </c>
      <c r="P637" s="3" t="s">
        <v>190</v>
      </c>
      <c r="R637" s="3" t="s">
        <v>1346</v>
      </c>
      <c r="S637" s="4">
        <v>4</v>
      </c>
      <c r="T637" s="4">
        <v>4</v>
      </c>
      <c r="U637" s="5" t="s">
        <v>1476</v>
      </c>
      <c r="V637" s="5" t="s">
        <v>1476</v>
      </c>
      <c r="W637" s="5" t="s">
        <v>4556</v>
      </c>
      <c r="X637" s="5" t="s">
        <v>4556</v>
      </c>
      <c r="Y637" s="4">
        <v>147</v>
      </c>
      <c r="Z637" s="4">
        <v>144</v>
      </c>
      <c r="AA637" s="4">
        <v>144</v>
      </c>
      <c r="AB637" s="4">
        <v>1</v>
      </c>
      <c r="AC637" s="4">
        <v>1</v>
      </c>
      <c r="AD637" s="4">
        <v>12</v>
      </c>
      <c r="AE637" s="4">
        <v>12</v>
      </c>
      <c r="AF637" s="4">
        <v>3</v>
      </c>
      <c r="AG637" s="4">
        <v>3</v>
      </c>
      <c r="AH637" s="4">
        <v>3</v>
      </c>
      <c r="AI637" s="4">
        <v>3</v>
      </c>
      <c r="AJ637" s="4">
        <v>4</v>
      </c>
      <c r="AK637" s="4">
        <v>4</v>
      </c>
      <c r="AL637" s="4">
        <v>0</v>
      </c>
      <c r="AM637" s="4">
        <v>0</v>
      </c>
      <c r="AN637" s="4">
        <v>4</v>
      </c>
      <c r="AO637" s="4">
        <v>4</v>
      </c>
      <c r="AP637" s="3" t="s">
        <v>58</v>
      </c>
      <c r="AQ637" s="3" t="s">
        <v>58</v>
      </c>
      <c r="AS637" s="6" t="str">
        <f>HYPERLINK("https://creighton-primo.hosted.exlibrisgroup.com/primo-explore/search?tab=default_tab&amp;search_scope=EVERYTHING&amp;vid=01CRU&amp;lang=en_US&amp;offset=0&amp;query=any,contains,991001508909702656","Catalog Record")</f>
        <v>Catalog Record</v>
      </c>
      <c r="AT637" s="6" t="str">
        <f>HYPERLINK("http://www.worldcat.org/oclc/28132018","WorldCat Record")</f>
        <v>WorldCat Record</v>
      </c>
    </row>
    <row r="638" spans="1:46" ht="40.5" customHeight="1" x14ac:dyDescent="0.25">
      <c r="A638" s="8" t="s">
        <v>58</v>
      </c>
      <c r="B638" s="2" t="s">
        <v>4557</v>
      </c>
      <c r="C638" s="2" t="s">
        <v>4558</v>
      </c>
      <c r="D638" s="2" t="s">
        <v>4559</v>
      </c>
      <c r="F638" s="3" t="s">
        <v>58</v>
      </c>
      <c r="G638" s="3" t="s">
        <v>59</v>
      </c>
      <c r="H638" s="3" t="s">
        <v>58</v>
      </c>
      <c r="I638" s="3" t="s">
        <v>58</v>
      </c>
      <c r="J638" s="3" t="s">
        <v>60</v>
      </c>
      <c r="K638" s="2" t="s">
        <v>4560</v>
      </c>
      <c r="L638" s="2" t="s">
        <v>4561</v>
      </c>
      <c r="M638" s="3" t="s">
        <v>336</v>
      </c>
      <c r="O638" s="3" t="s">
        <v>64</v>
      </c>
      <c r="P638" s="3" t="s">
        <v>4562</v>
      </c>
      <c r="R638" s="3" t="s">
        <v>1346</v>
      </c>
      <c r="S638" s="4">
        <v>3</v>
      </c>
      <c r="T638" s="4">
        <v>3</v>
      </c>
      <c r="U638" s="5" t="s">
        <v>2009</v>
      </c>
      <c r="V638" s="5" t="s">
        <v>2009</v>
      </c>
      <c r="W638" s="5" t="s">
        <v>3664</v>
      </c>
      <c r="X638" s="5" t="s">
        <v>3664</v>
      </c>
      <c r="Y638" s="4">
        <v>32</v>
      </c>
      <c r="Z638" s="4">
        <v>27</v>
      </c>
      <c r="AA638" s="4">
        <v>29</v>
      </c>
      <c r="AB638" s="4">
        <v>1</v>
      </c>
      <c r="AC638" s="4">
        <v>1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3" t="s">
        <v>58</v>
      </c>
      <c r="AQ638" s="3" t="s">
        <v>115</v>
      </c>
      <c r="AR638" s="6" t="str">
        <f>HYPERLINK("http://catalog.hathitrust.org/Record/000486286","HathiTrust Record")</f>
        <v>HathiTrust Record</v>
      </c>
      <c r="AS638" s="6" t="str">
        <f>HYPERLINK("https://creighton-primo.hosted.exlibrisgroup.com/primo-explore/search?tab=default_tab&amp;search_scope=EVERYTHING&amp;vid=01CRU&amp;lang=en_US&amp;offset=0&amp;query=any,contains,991000965119702656","Catalog Record")</f>
        <v>Catalog Record</v>
      </c>
      <c r="AT638" s="6" t="str">
        <f>HYPERLINK("http://www.worldcat.org/oclc/9206403","WorldCat Record")</f>
        <v>WorldCat Record</v>
      </c>
    </row>
    <row r="639" spans="1:46" ht="40.5" customHeight="1" x14ac:dyDescent="0.25">
      <c r="A639" s="8" t="s">
        <v>58</v>
      </c>
      <c r="B639" s="2" t="s">
        <v>4563</v>
      </c>
      <c r="C639" s="2" t="s">
        <v>4564</v>
      </c>
      <c r="D639" s="2" t="s">
        <v>4565</v>
      </c>
      <c r="F639" s="3" t="s">
        <v>58</v>
      </c>
      <c r="G639" s="3" t="s">
        <v>59</v>
      </c>
      <c r="H639" s="3" t="s">
        <v>58</v>
      </c>
      <c r="I639" s="3" t="s">
        <v>58</v>
      </c>
      <c r="J639" s="3" t="s">
        <v>59</v>
      </c>
      <c r="K639" s="2" t="s">
        <v>723</v>
      </c>
      <c r="L639" s="2" t="s">
        <v>4566</v>
      </c>
      <c r="M639" s="3" t="s">
        <v>572</v>
      </c>
      <c r="O639" s="3" t="s">
        <v>64</v>
      </c>
      <c r="P639" s="3" t="s">
        <v>643</v>
      </c>
      <c r="R639" s="3" t="s">
        <v>1346</v>
      </c>
      <c r="S639" s="4">
        <v>0</v>
      </c>
      <c r="T639" s="4">
        <v>0</v>
      </c>
      <c r="U639" s="5" t="s">
        <v>4269</v>
      </c>
      <c r="V639" s="5" t="s">
        <v>4269</v>
      </c>
      <c r="W639" s="5" t="s">
        <v>4269</v>
      </c>
      <c r="X639" s="5" t="s">
        <v>4269</v>
      </c>
      <c r="Y639" s="4">
        <v>347</v>
      </c>
      <c r="Z639" s="4">
        <v>309</v>
      </c>
      <c r="AA639" s="4">
        <v>777</v>
      </c>
      <c r="AB639" s="4">
        <v>1</v>
      </c>
      <c r="AC639" s="4">
        <v>12</v>
      </c>
      <c r="AD639" s="4">
        <v>10</v>
      </c>
      <c r="AE639" s="4">
        <v>32</v>
      </c>
      <c r="AF639" s="4">
        <v>5</v>
      </c>
      <c r="AG639" s="4">
        <v>11</v>
      </c>
      <c r="AH639" s="4">
        <v>3</v>
      </c>
      <c r="AI639" s="4">
        <v>8</v>
      </c>
      <c r="AJ639" s="4">
        <v>6</v>
      </c>
      <c r="AK639" s="4">
        <v>9</v>
      </c>
      <c r="AL639" s="4">
        <v>0</v>
      </c>
      <c r="AM639" s="4">
        <v>10</v>
      </c>
      <c r="AN639" s="4">
        <v>1</v>
      </c>
      <c r="AO639" s="4">
        <v>2</v>
      </c>
      <c r="AP639" s="3" t="s">
        <v>58</v>
      </c>
      <c r="AQ639" s="3" t="s">
        <v>115</v>
      </c>
      <c r="AR639" s="6" t="str">
        <f>HYPERLINK("http://catalog.hathitrust.org/Record/004324306","HathiTrust Record")</f>
        <v>HathiTrust Record</v>
      </c>
      <c r="AS639" s="6" t="str">
        <f>HYPERLINK("https://creighton-primo.hosted.exlibrisgroup.com/primo-explore/search?tab=default_tab&amp;search_scope=EVERYTHING&amp;vid=01CRU&amp;lang=en_US&amp;offset=0&amp;query=any,contains,991000395799702656","Catalog Record")</f>
        <v>Catalog Record</v>
      </c>
      <c r="AT639" s="6" t="str">
        <f>HYPERLINK("http://www.worldcat.org/oclc/51216484","WorldCat Record")</f>
        <v>WorldCat Record</v>
      </c>
    </row>
    <row r="640" spans="1:46" ht="40.5" customHeight="1" x14ac:dyDescent="0.25">
      <c r="A640" s="8" t="s">
        <v>58</v>
      </c>
      <c r="B640" s="2" t="s">
        <v>4567</v>
      </c>
      <c r="C640" s="2" t="s">
        <v>4568</v>
      </c>
      <c r="D640" s="2" t="s">
        <v>4569</v>
      </c>
      <c r="F640" s="3" t="s">
        <v>58</v>
      </c>
      <c r="G640" s="3" t="s">
        <v>59</v>
      </c>
      <c r="H640" s="3" t="s">
        <v>58</v>
      </c>
      <c r="I640" s="3" t="s">
        <v>58</v>
      </c>
      <c r="J640" s="3" t="s">
        <v>60</v>
      </c>
      <c r="K640" s="2" t="s">
        <v>4570</v>
      </c>
      <c r="L640" s="2" t="s">
        <v>4571</v>
      </c>
      <c r="M640" s="3" t="s">
        <v>81</v>
      </c>
      <c r="O640" s="3" t="s">
        <v>64</v>
      </c>
      <c r="P640" s="3" t="s">
        <v>1355</v>
      </c>
      <c r="R640" s="3" t="s">
        <v>1346</v>
      </c>
      <c r="S640" s="4">
        <v>7</v>
      </c>
      <c r="T640" s="4">
        <v>7</v>
      </c>
      <c r="U640" s="5" t="s">
        <v>4572</v>
      </c>
      <c r="V640" s="5" t="s">
        <v>4572</v>
      </c>
      <c r="W640" s="5" t="s">
        <v>1436</v>
      </c>
      <c r="X640" s="5" t="s">
        <v>1436</v>
      </c>
      <c r="Y640" s="4">
        <v>92</v>
      </c>
      <c r="Z640" s="4">
        <v>70</v>
      </c>
      <c r="AA640" s="4">
        <v>74</v>
      </c>
      <c r="AB640" s="4">
        <v>1</v>
      </c>
      <c r="AC640" s="4">
        <v>1</v>
      </c>
      <c r="AD640" s="4">
        <v>3</v>
      </c>
      <c r="AE640" s="4">
        <v>3</v>
      </c>
      <c r="AF640" s="4">
        <v>1</v>
      </c>
      <c r="AG640" s="4">
        <v>1</v>
      </c>
      <c r="AH640" s="4">
        <v>1</v>
      </c>
      <c r="AI640" s="4">
        <v>1</v>
      </c>
      <c r="AJ640" s="4">
        <v>1</v>
      </c>
      <c r="AK640" s="4">
        <v>1</v>
      </c>
      <c r="AL640" s="4">
        <v>0</v>
      </c>
      <c r="AM640" s="4">
        <v>0</v>
      </c>
      <c r="AN640" s="4">
        <v>0</v>
      </c>
      <c r="AO640" s="4">
        <v>0</v>
      </c>
      <c r="AP640" s="3" t="s">
        <v>58</v>
      </c>
      <c r="AQ640" s="3" t="s">
        <v>115</v>
      </c>
      <c r="AR640" s="6" t="str">
        <f>HYPERLINK("http://catalog.hathitrust.org/Record/000740517","HathiTrust Record")</f>
        <v>HathiTrust Record</v>
      </c>
      <c r="AS640" s="6" t="str">
        <f>HYPERLINK("https://creighton-primo.hosted.exlibrisgroup.com/primo-explore/search?tab=default_tab&amp;search_scope=EVERYTHING&amp;vid=01CRU&amp;lang=en_US&amp;offset=0&amp;query=any,contains,991000748209702656","Catalog Record")</f>
        <v>Catalog Record</v>
      </c>
      <c r="AT640" s="6" t="str">
        <f>HYPERLINK("http://www.worldcat.org/oclc/5353409","WorldCat Record")</f>
        <v>WorldCat Record</v>
      </c>
    </row>
    <row r="641" spans="1:46" ht="40.5" customHeight="1" x14ac:dyDescent="0.25">
      <c r="A641" s="8" t="s">
        <v>58</v>
      </c>
      <c r="B641" s="2" t="s">
        <v>4573</v>
      </c>
      <c r="C641" s="2" t="s">
        <v>4574</v>
      </c>
      <c r="D641" s="2" t="s">
        <v>4575</v>
      </c>
      <c r="F641" s="3" t="s">
        <v>58</v>
      </c>
      <c r="G641" s="3" t="s">
        <v>59</v>
      </c>
      <c r="H641" s="3" t="s">
        <v>58</v>
      </c>
      <c r="I641" s="3" t="s">
        <v>58</v>
      </c>
      <c r="J641" s="3" t="s">
        <v>60</v>
      </c>
      <c r="K641" s="2" t="s">
        <v>4576</v>
      </c>
      <c r="L641" s="2" t="s">
        <v>4577</v>
      </c>
      <c r="M641" s="3" t="s">
        <v>4501</v>
      </c>
      <c r="N641" s="2" t="s">
        <v>174</v>
      </c>
      <c r="O641" s="3" t="s">
        <v>64</v>
      </c>
      <c r="P641" s="3" t="s">
        <v>65</v>
      </c>
      <c r="R641" s="3" t="s">
        <v>1346</v>
      </c>
      <c r="S641" s="4">
        <v>1</v>
      </c>
      <c r="T641" s="4">
        <v>1</v>
      </c>
      <c r="U641" s="5" t="s">
        <v>4578</v>
      </c>
      <c r="V641" s="5" t="s">
        <v>4578</v>
      </c>
      <c r="W641" s="5" t="s">
        <v>3664</v>
      </c>
      <c r="X641" s="5" t="s">
        <v>3664</v>
      </c>
      <c r="Y641" s="4">
        <v>119</v>
      </c>
      <c r="Z641" s="4">
        <v>104</v>
      </c>
      <c r="AA641" s="4">
        <v>112</v>
      </c>
      <c r="AB641" s="4">
        <v>1</v>
      </c>
      <c r="AC641" s="4">
        <v>1</v>
      </c>
      <c r="AD641" s="4">
        <v>3</v>
      </c>
      <c r="AE641" s="4">
        <v>3</v>
      </c>
      <c r="AF641" s="4">
        <v>1</v>
      </c>
      <c r="AG641" s="4">
        <v>1</v>
      </c>
      <c r="AH641" s="4">
        <v>1</v>
      </c>
      <c r="AI641" s="4">
        <v>1</v>
      </c>
      <c r="AJ641" s="4">
        <v>2</v>
      </c>
      <c r="AK641" s="4">
        <v>2</v>
      </c>
      <c r="AL641" s="4">
        <v>0</v>
      </c>
      <c r="AM641" s="4">
        <v>0</v>
      </c>
      <c r="AN641" s="4">
        <v>0</v>
      </c>
      <c r="AO641" s="4">
        <v>0</v>
      </c>
      <c r="AP641" s="3" t="s">
        <v>115</v>
      </c>
      <c r="AQ641" s="3" t="s">
        <v>58</v>
      </c>
      <c r="AR641" s="6" t="str">
        <f>HYPERLINK("http://catalog.hathitrust.org/Record/001573684","HathiTrust Record")</f>
        <v>HathiTrust Record</v>
      </c>
      <c r="AS641" s="6" t="str">
        <f>HYPERLINK("https://creighton-primo.hosted.exlibrisgroup.com/primo-explore/search?tab=default_tab&amp;search_scope=EVERYTHING&amp;vid=01CRU&amp;lang=en_US&amp;offset=0&amp;query=any,contains,991000965299702656","Catalog Record")</f>
        <v>Catalog Record</v>
      </c>
      <c r="AT641" s="6" t="str">
        <f>HYPERLINK("http://www.worldcat.org/oclc/2545598","WorldCat Record")</f>
        <v>WorldCat Record</v>
      </c>
    </row>
    <row r="642" spans="1:46" ht="40.5" customHeight="1" x14ac:dyDescent="0.25">
      <c r="A642" s="8" t="s">
        <v>58</v>
      </c>
      <c r="B642" s="2" t="s">
        <v>4579</v>
      </c>
      <c r="C642" s="2" t="s">
        <v>4580</v>
      </c>
      <c r="D642" s="2" t="s">
        <v>4581</v>
      </c>
      <c r="F642" s="3" t="s">
        <v>58</v>
      </c>
      <c r="G642" s="3" t="s">
        <v>59</v>
      </c>
      <c r="H642" s="3" t="s">
        <v>58</v>
      </c>
      <c r="I642" s="3" t="s">
        <v>58</v>
      </c>
      <c r="J642" s="3" t="s">
        <v>60</v>
      </c>
      <c r="K642" s="2" t="s">
        <v>4582</v>
      </c>
      <c r="L642" s="2" t="s">
        <v>4583</v>
      </c>
      <c r="M642" s="3" t="s">
        <v>468</v>
      </c>
      <c r="O642" s="3" t="s">
        <v>64</v>
      </c>
      <c r="P642" s="3" t="s">
        <v>65</v>
      </c>
      <c r="R642" s="3" t="s">
        <v>1346</v>
      </c>
      <c r="S642" s="4">
        <v>0</v>
      </c>
      <c r="T642" s="4">
        <v>0</v>
      </c>
      <c r="U642" s="5" t="s">
        <v>4584</v>
      </c>
      <c r="V642" s="5" t="s">
        <v>4584</v>
      </c>
      <c r="W642" s="5" t="s">
        <v>4585</v>
      </c>
      <c r="X642" s="5" t="s">
        <v>4585</v>
      </c>
      <c r="Y642" s="4">
        <v>96</v>
      </c>
      <c r="Z642" s="4">
        <v>69</v>
      </c>
      <c r="AA642" s="4">
        <v>96</v>
      </c>
      <c r="AB642" s="4">
        <v>2</v>
      </c>
      <c r="AC642" s="4">
        <v>2</v>
      </c>
      <c r="AD642" s="4">
        <v>2</v>
      </c>
      <c r="AE642" s="4">
        <v>2</v>
      </c>
      <c r="AF642" s="4">
        <v>0</v>
      </c>
      <c r="AG642" s="4">
        <v>0</v>
      </c>
      <c r="AH642" s="4">
        <v>1</v>
      </c>
      <c r="AI642" s="4">
        <v>1</v>
      </c>
      <c r="AJ642" s="4">
        <v>1</v>
      </c>
      <c r="AK642" s="4">
        <v>1</v>
      </c>
      <c r="AL642" s="4">
        <v>1</v>
      </c>
      <c r="AM642" s="4">
        <v>1</v>
      </c>
      <c r="AN642" s="4">
        <v>0</v>
      </c>
      <c r="AO642" s="4">
        <v>0</v>
      </c>
      <c r="AP642" s="3" t="s">
        <v>58</v>
      </c>
      <c r="AQ642" s="3" t="s">
        <v>58</v>
      </c>
      <c r="AS642" s="6" t="str">
        <f>HYPERLINK("https://creighton-primo.hosted.exlibrisgroup.com/primo-explore/search?tab=default_tab&amp;search_scope=EVERYTHING&amp;vid=01CRU&amp;lang=en_US&amp;offset=0&amp;query=any,contains,991000462989702656","Catalog Record")</f>
        <v>Catalog Record</v>
      </c>
      <c r="AT642" s="6" t="str">
        <f>HYPERLINK("http://www.worldcat.org/oclc/56068953","WorldCat Record")</f>
        <v>WorldCat Record</v>
      </c>
    </row>
    <row r="643" spans="1:46" ht="40.5" customHeight="1" x14ac:dyDescent="0.25">
      <c r="A643" s="8" t="s">
        <v>58</v>
      </c>
      <c r="B643" s="2" t="s">
        <v>4586</v>
      </c>
      <c r="C643" s="2" t="s">
        <v>4587</v>
      </c>
      <c r="D643" s="2" t="s">
        <v>4588</v>
      </c>
      <c r="F643" s="3" t="s">
        <v>58</v>
      </c>
      <c r="G643" s="3" t="s">
        <v>59</v>
      </c>
      <c r="H643" s="3" t="s">
        <v>58</v>
      </c>
      <c r="I643" s="3" t="s">
        <v>58</v>
      </c>
      <c r="J643" s="3" t="s">
        <v>60</v>
      </c>
      <c r="K643" s="2" t="s">
        <v>4589</v>
      </c>
      <c r="L643" s="2" t="s">
        <v>4590</v>
      </c>
      <c r="M643" s="3" t="s">
        <v>4591</v>
      </c>
      <c r="O643" s="3" t="s">
        <v>64</v>
      </c>
      <c r="P643" s="3" t="s">
        <v>144</v>
      </c>
      <c r="R643" s="3" t="s">
        <v>1346</v>
      </c>
      <c r="S643" s="4">
        <v>3</v>
      </c>
      <c r="T643" s="4">
        <v>3</v>
      </c>
      <c r="U643" s="5" t="s">
        <v>2009</v>
      </c>
      <c r="V643" s="5" t="s">
        <v>2009</v>
      </c>
      <c r="W643" s="5" t="s">
        <v>4439</v>
      </c>
      <c r="X643" s="5" t="s">
        <v>4439</v>
      </c>
      <c r="Y643" s="4">
        <v>24</v>
      </c>
      <c r="Z643" s="4">
        <v>20</v>
      </c>
      <c r="AA643" s="4">
        <v>47</v>
      </c>
      <c r="AB643" s="4">
        <v>1</v>
      </c>
      <c r="AC643" s="4">
        <v>1</v>
      </c>
      <c r="AD643" s="4">
        <v>0</v>
      </c>
      <c r="AE643" s="4">
        <v>1</v>
      </c>
      <c r="AF643" s="4">
        <v>0</v>
      </c>
      <c r="AG643" s="4">
        <v>1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0</v>
      </c>
      <c r="AP643" s="3" t="s">
        <v>115</v>
      </c>
      <c r="AQ643" s="3" t="s">
        <v>58</v>
      </c>
      <c r="AR643" s="6" t="str">
        <f>HYPERLINK("http://catalog.hathitrust.org/Record/001573685","HathiTrust Record")</f>
        <v>HathiTrust Record</v>
      </c>
      <c r="AS643" s="6" t="str">
        <f>HYPERLINK("https://creighton-primo.hosted.exlibrisgroup.com/primo-explore/search?tab=default_tab&amp;search_scope=EVERYTHING&amp;vid=01CRU&amp;lang=en_US&amp;offset=0&amp;query=any,contains,991000965329702656","Catalog Record")</f>
        <v>Catalog Record</v>
      </c>
      <c r="AT643" s="6" t="str">
        <f>HYPERLINK("http://www.worldcat.org/oclc/3734394","WorldCat Record")</f>
        <v>WorldCat Record</v>
      </c>
    </row>
    <row r="644" spans="1:46" ht="40.5" customHeight="1" x14ac:dyDescent="0.25">
      <c r="A644" s="8" t="s">
        <v>58</v>
      </c>
      <c r="B644" s="2" t="s">
        <v>4592</v>
      </c>
      <c r="C644" s="2" t="s">
        <v>4593</v>
      </c>
      <c r="D644" s="2" t="s">
        <v>4594</v>
      </c>
      <c r="F644" s="3" t="s">
        <v>58</v>
      </c>
      <c r="G644" s="3" t="s">
        <v>59</v>
      </c>
      <c r="H644" s="3" t="s">
        <v>58</v>
      </c>
      <c r="I644" s="3" t="s">
        <v>58</v>
      </c>
      <c r="J644" s="3" t="s">
        <v>60</v>
      </c>
      <c r="L644" s="2" t="s">
        <v>4595</v>
      </c>
      <c r="M644" s="3" t="s">
        <v>1122</v>
      </c>
      <c r="O644" s="3" t="s">
        <v>64</v>
      </c>
      <c r="P644" s="3" t="s">
        <v>755</v>
      </c>
      <c r="R644" s="3" t="s">
        <v>1346</v>
      </c>
      <c r="S644" s="4">
        <v>1</v>
      </c>
      <c r="T644" s="4">
        <v>1</v>
      </c>
      <c r="U644" s="5" t="s">
        <v>4596</v>
      </c>
      <c r="V644" s="5" t="s">
        <v>4596</v>
      </c>
      <c r="W644" s="5" t="s">
        <v>4596</v>
      </c>
      <c r="X644" s="5" t="s">
        <v>4596</v>
      </c>
      <c r="Y644" s="4">
        <v>7</v>
      </c>
      <c r="Z644" s="4">
        <v>7</v>
      </c>
      <c r="AA644" s="4">
        <v>7</v>
      </c>
      <c r="AB644" s="4">
        <v>1</v>
      </c>
      <c r="AC644" s="4">
        <v>1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3" t="s">
        <v>58</v>
      </c>
      <c r="AQ644" s="3" t="s">
        <v>58</v>
      </c>
      <c r="AS644" s="6" t="str">
        <f>HYPERLINK("https://creighton-primo.hosted.exlibrisgroup.com/primo-explore/search?tab=default_tab&amp;search_scope=EVERYTHING&amp;vid=01CRU&amp;lang=en_US&amp;offset=0&amp;query=any,contains,991000767269702656","Catalog Record")</f>
        <v>Catalog Record</v>
      </c>
      <c r="AT644" s="6" t="str">
        <f>HYPERLINK("http://www.worldcat.org/oclc/22174943","WorldCat Record")</f>
        <v>WorldCat Record</v>
      </c>
    </row>
    <row r="645" spans="1:46" ht="40.5" customHeight="1" x14ac:dyDescent="0.25">
      <c r="A645" s="8" t="s">
        <v>58</v>
      </c>
      <c r="B645" s="2" t="s">
        <v>4597</v>
      </c>
      <c r="C645" s="2" t="s">
        <v>4598</v>
      </c>
      <c r="D645" s="2" t="s">
        <v>4599</v>
      </c>
      <c r="F645" s="3" t="s">
        <v>58</v>
      </c>
      <c r="G645" s="3" t="s">
        <v>59</v>
      </c>
      <c r="H645" s="3" t="s">
        <v>58</v>
      </c>
      <c r="I645" s="3" t="s">
        <v>58</v>
      </c>
      <c r="J645" s="3" t="s">
        <v>60</v>
      </c>
      <c r="L645" s="2" t="s">
        <v>4600</v>
      </c>
      <c r="M645" s="3" t="s">
        <v>1392</v>
      </c>
      <c r="O645" s="3" t="s">
        <v>64</v>
      </c>
      <c r="P645" s="3" t="s">
        <v>1355</v>
      </c>
      <c r="R645" s="3" t="s">
        <v>1346</v>
      </c>
      <c r="S645" s="4">
        <v>7</v>
      </c>
      <c r="T645" s="4">
        <v>7</v>
      </c>
      <c r="U645" s="5" t="s">
        <v>1476</v>
      </c>
      <c r="V645" s="5" t="s">
        <v>1476</v>
      </c>
      <c r="W645" s="5" t="s">
        <v>3664</v>
      </c>
      <c r="X645" s="5" t="s">
        <v>3664</v>
      </c>
      <c r="Y645" s="4">
        <v>222</v>
      </c>
      <c r="Z645" s="4">
        <v>196</v>
      </c>
      <c r="AA645" s="4">
        <v>198</v>
      </c>
      <c r="AB645" s="4">
        <v>1</v>
      </c>
      <c r="AC645" s="4">
        <v>1</v>
      </c>
      <c r="AD645" s="4">
        <v>7</v>
      </c>
      <c r="AE645" s="4">
        <v>7</v>
      </c>
      <c r="AF645" s="4">
        <v>3</v>
      </c>
      <c r="AG645" s="4">
        <v>3</v>
      </c>
      <c r="AH645" s="4">
        <v>3</v>
      </c>
      <c r="AI645" s="4">
        <v>3</v>
      </c>
      <c r="AJ645" s="4">
        <v>2</v>
      </c>
      <c r="AK645" s="4">
        <v>2</v>
      </c>
      <c r="AL645" s="4">
        <v>0</v>
      </c>
      <c r="AM645" s="4">
        <v>0</v>
      </c>
      <c r="AN645" s="4">
        <v>1</v>
      </c>
      <c r="AO645" s="4">
        <v>1</v>
      </c>
      <c r="AP645" s="3" t="s">
        <v>58</v>
      </c>
      <c r="AQ645" s="3" t="s">
        <v>115</v>
      </c>
      <c r="AR645" s="6" t="str">
        <f>HYPERLINK("http://catalog.hathitrust.org/Record/000245654","HathiTrust Record")</f>
        <v>HathiTrust Record</v>
      </c>
      <c r="AS645" s="6" t="str">
        <f>HYPERLINK("https://creighton-primo.hosted.exlibrisgroup.com/primo-explore/search?tab=default_tab&amp;search_scope=EVERYTHING&amp;vid=01CRU&amp;lang=en_US&amp;offset=0&amp;query=any,contains,991000965159702656","Catalog Record")</f>
        <v>Catalog Record</v>
      </c>
      <c r="AT645" s="6" t="str">
        <f>HYPERLINK("http://www.worldcat.org/oclc/9442036","WorldCat Record")</f>
        <v>WorldCat Record</v>
      </c>
    </row>
    <row r="646" spans="1:46" ht="40.5" customHeight="1" x14ac:dyDescent="0.25">
      <c r="A646" s="8" t="s">
        <v>58</v>
      </c>
      <c r="B646" s="2" t="s">
        <v>4601</v>
      </c>
      <c r="C646" s="2" t="s">
        <v>4602</v>
      </c>
      <c r="D646" s="2" t="s">
        <v>4603</v>
      </c>
      <c r="F646" s="3" t="s">
        <v>58</v>
      </c>
      <c r="G646" s="3" t="s">
        <v>59</v>
      </c>
      <c r="H646" s="3" t="s">
        <v>58</v>
      </c>
      <c r="I646" s="3" t="s">
        <v>58</v>
      </c>
      <c r="J646" s="3" t="s">
        <v>60</v>
      </c>
      <c r="K646" s="2" t="s">
        <v>4604</v>
      </c>
      <c r="L646" s="2" t="s">
        <v>4605</v>
      </c>
      <c r="M646" s="3" t="s">
        <v>395</v>
      </c>
      <c r="O646" s="3" t="s">
        <v>64</v>
      </c>
      <c r="P646" s="3" t="s">
        <v>144</v>
      </c>
      <c r="R646" s="3" t="s">
        <v>1346</v>
      </c>
      <c r="S646" s="4">
        <v>4</v>
      </c>
      <c r="T646" s="4">
        <v>4</v>
      </c>
      <c r="U646" s="5" t="s">
        <v>4606</v>
      </c>
      <c r="V646" s="5" t="s">
        <v>4606</v>
      </c>
      <c r="W646" s="5" t="s">
        <v>4439</v>
      </c>
      <c r="X646" s="5" t="s">
        <v>4439</v>
      </c>
      <c r="Y646" s="4">
        <v>167</v>
      </c>
      <c r="Z646" s="4">
        <v>135</v>
      </c>
      <c r="AA646" s="4">
        <v>285</v>
      </c>
      <c r="AB646" s="4">
        <v>2</v>
      </c>
      <c r="AC646" s="4">
        <v>2</v>
      </c>
      <c r="AD646" s="4">
        <v>5</v>
      </c>
      <c r="AE646" s="4">
        <v>9</v>
      </c>
      <c r="AF646" s="4">
        <v>2</v>
      </c>
      <c r="AG646" s="4">
        <v>2</v>
      </c>
      <c r="AH646" s="4">
        <v>2</v>
      </c>
      <c r="AI646" s="4">
        <v>4</v>
      </c>
      <c r="AJ646" s="4">
        <v>2</v>
      </c>
      <c r="AK646" s="4">
        <v>5</v>
      </c>
      <c r="AL646" s="4">
        <v>1</v>
      </c>
      <c r="AM646" s="4">
        <v>1</v>
      </c>
      <c r="AN646" s="4">
        <v>0</v>
      </c>
      <c r="AO646" s="4">
        <v>0</v>
      </c>
      <c r="AP646" s="3" t="s">
        <v>58</v>
      </c>
      <c r="AQ646" s="3" t="s">
        <v>115</v>
      </c>
      <c r="AR646" s="6" t="str">
        <f>HYPERLINK("http://catalog.hathitrust.org/Record/006703256","HathiTrust Record")</f>
        <v>HathiTrust Record</v>
      </c>
      <c r="AS646" s="6" t="str">
        <f>HYPERLINK("https://creighton-primo.hosted.exlibrisgroup.com/primo-explore/search?tab=default_tab&amp;search_scope=EVERYTHING&amp;vid=01CRU&amp;lang=en_US&amp;offset=0&amp;query=any,contains,991000965369702656","Catalog Record")</f>
        <v>Catalog Record</v>
      </c>
      <c r="AT646" s="6" t="str">
        <f>HYPERLINK("http://www.worldcat.org/oclc/546665","WorldCat Record")</f>
        <v>WorldCat Record</v>
      </c>
    </row>
    <row r="647" spans="1:46" ht="40.5" customHeight="1" x14ac:dyDescent="0.25">
      <c r="A647" s="8" t="s">
        <v>58</v>
      </c>
      <c r="B647" s="2" t="s">
        <v>4607</v>
      </c>
      <c r="C647" s="2" t="s">
        <v>4608</v>
      </c>
      <c r="D647" s="2" t="s">
        <v>4609</v>
      </c>
      <c r="F647" s="3" t="s">
        <v>58</v>
      </c>
      <c r="G647" s="3" t="s">
        <v>59</v>
      </c>
      <c r="H647" s="3" t="s">
        <v>58</v>
      </c>
      <c r="I647" s="3" t="s">
        <v>58</v>
      </c>
      <c r="J647" s="3" t="s">
        <v>60</v>
      </c>
      <c r="K647" s="2" t="s">
        <v>4604</v>
      </c>
      <c r="L647" s="2" t="s">
        <v>4610</v>
      </c>
      <c r="M647" s="3" t="s">
        <v>336</v>
      </c>
      <c r="N647" s="2" t="s">
        <v>1091</v>
      </c>
      <c r="O647" s="3" t="s">
        <v>64</v>
      </c>
      <c r="P647" s="3" t="s">
        <v>1355</v>
      </c>
      <c r="R647" s="3" t="s">
        <v>1346</v>
      </c>
      <c r="S647" s="4">
        <v>2</v>
      </c>
      <c r="T647" s="4">
        <v>2</v>
      </c>
      <c r="U647" s="5" t="s">
        <v>4611</v>
      </c>
      <c r="V647" s="5" t="s">
        <v>4611</v>
      </c>
      <c r="W647" s="5" t="s">
        <v>3664</v>
      </c>
      <c r="X647" s="5" t="s">
        <v>3664</v>
      </c>
      <c r="Y647" s="4">
        <v>85</v>
      </c>
      <c r="Z647" s="4">
        <v>61</v>
      </c>
      <c r="AA647" s="4">
        <v>207</v>
      </c>
      <c r="AB647" s="4">
        <v>1</v>
      </c>
      <c r="AC647" s="4">
        <v>3</v>
      </c>
      <c r="AD647" s="4">
        <v>1</v>
      </c>
      <c r="AE647" s="4">
        <v>6</v>
      </c>
      <c r="AF647" s="4">
        <v>0</v>
      </c>
      <c r="AG647" s="4">
        <v>3</v>
      </c>
      <c r="AH647" s="4">
        <v>1</v>
      </c>
      <c r="AI647" s="4">
        <v>1</v>
      </c>
      <c r="AJ647" s="4">
        <v>0</v>
      </c>
      <c r="AK647" s="4">
        <v>1</v>
      </c>
      <c r="AL647" s="4">
        <v>0</v>
      </c>
      <c r="AM647" s="4">
        <v>2</v>
      </c>
      <c r="AN647" s="4">
        <v>0</v>
      </c>
      <c r="AO647" s="4">
        <v>0</v>
      </c>
      <c r="AP647" s="3" t="s">
        <v>58</v>
      </c>
      <c r="AQ647" s="3" t="s">
        <v>115</v>
      </c>
      <c r="AR647" s="6" t="str">
        <f>HYPERLINK("http://catalog.hathitrust.org/Record/000303758","HathiTrust Record")</f>
        <v>HathiTrust Record</v>
      </c>
      <c r="AS647" s="6" t="str">
        <f>HYPERLINK("https://creighton-primo.hosted.exlibrisgroup.com/primo-explore/search?tab=default_tab&amp;search_scope=EVERYTHING&amp;vid=01CRU&amp;lang=en_US&amp;offset=0&amp;query=any,contains,991000965399702656","Catalog Record")</f>
        <v>Catalog Record</v>
      </c>
      <c r="AT647" s="6" t="str">
        <f>HYPERLINK("http://www.worldcat.org/oclc/6889343","WorldCat Record")</f>
        <v>WorldCat Record</v>
      </c>
    </row>
    <row r="648" spans="1:46" ht="40.5" customHeight="1" x14ac:dyDescent="0.25">
      <c r="A648" s="8" t="s">
        <v>58</v>
      </c>
      <c r="B648" s="2" t="s">
        <v>4612</v>
      </c>
      <c r="C648" s="2" t="s">
        <v>4613</v>
      </c>
      <c r="D648" s="2" t="s">
        <v>4614</v>
      </c>
      <c r="F648" s="3" t="s">
        <v>58</v>
      </c>
      <c r="G648" s="3" t="s">
        <v>59</v>
      </c>
      <c r="H648" s="3" t="s">
        <v>58</v>
      </c>
      <c r="I648" s="3" t="s">
        <v>58</v>
      </c>
      <c r="J648" s="3" t="s">
        <v>60</v>
      </c>
      <c r="K648" s="2" t="s">
        <v>4615</v>
      </c>
      <c r="L648" s="2" t="s">
        <v>4216</v>
      </c>
      <c r="M648" s="3" t="s">
        <v>424</v>
      </c>
      <c r="N648" s="2" t="s">
        <v>143</v>
      </c>
      <c r="O648" s="3" t="s">
        <v>64</v>
      </c>
      <c r="P648" s="3" t="s">
        <v>65</v>
      </c>
      <c r="R648" s="3" t="s">
        <v>1346</v>
      </c>
      <c r="S648" s="4">
        <v>12</v>
      </c>
      <c r="T648" s="4">
        <v>12</v>
      </c>
      <c r="U648" s="5" t="s">
        <v>1476</v>
      </c>
      <c r="V648" s="5" t="s">
        <v>1476</v>
      </c>
      <c r="W648" s="5" t="s">
        <v>4616</v>
      </c>
      <c r="X648" s="5" t="s">
        <v>4616</v>
      </c>
      <c r="Y648" s="4">
        <v>173</v>
      </c>
      <c r="Z648" s="4">
        <v>128</v>
      </c>
      <c r="AA648" s="4">
        <v>131</v>
      </c>
      <c r="AB648" s="4">
        <v>2</v>
      </c>
      <c r="AC648" s="4">
        <v>2</v>
      </c>
      <c r="AD648" s="4">
        <v>7</v>
      </c>
      <c r="AE648" s="4">
        <v>7</v>
      </c>
      <c r="AF648" s="4">
        <v>3</v>
      </c>
      <c r="AG648" s="4">
        <v>3</v>
      </c>
      <c r="AH648" s="4">
        <v>3</v>
      </c>
      <c r="AI648" s="4">
        <v>3</v>
      </c>
      <c r="AJ648" s="4">
        <v>3</v>
      </c>
      <c r="AK648" s="4">
        <v>3</v>
      </c>
      <c r="AL648" s="4">
        <v>1</v>
      </c>
      <c r="AM648" s="4">
        <v>1</v>
      </c>
      <c r="AN648" s="4">
        <v>0</v>
      </c>
      <c r="AO648" s="4">
        <v>0</v>
      </c>
      <c r="AP648" s="3" t="s">
        <v>58</v>
      </c>
      <c r="AQ648" s="3" t="s">
        <v>115</v>
      </c>
      <c r="AR648" s="6" t="str">
        <f>HYPERLINK("http://catalog.hathitrust.org/Record/002865289","HathiTrust Record")</f>
        <v>HathiTrust Record</v>
      </c>
      <c r="AS648" s="6" t="str">
        <f>HYPERLINK("https://creighton-primo.hosted.exlibrisgroup.com/primo-explore/search?tab=default_tab&amp;search_scope=EVERYTHING&amp;vid=01CRU&amp;lang=en_US&amp;offset=0&amp;query=any,contains,991001193719702656","Catalog Record")</f>
        <v>Catalog Record</v>
      </c>
      <c r="AT648" s="6" t="str">
        <f>HYPERLINK("http://www.worldcat.org/oclc/28587230","WorldCat Record")</f>
        <v>WorldCat Record</v>
      </c>
    </row>
    <row r="649" spans="1:46" ht="40.5" customHeight="1" x14ac:dyDescent="0.25">
      <c r="A649" s="8" t="s">
        <v>58</v>
      </c>
      <c r="B649" s="2" t="s">
        <v>4617</v>
      </c>
      <c r="C649" s="2" t="s">
        <v>4618</v>
      </c>
      <c r="D649" s="2" t="s">
        <v>4619</v>
      </c>
      <c r="F649" s="3" t="s">
        <v>58</v>
      </c>
      <c r="G649" s="3" t="s">
        <v>59</v>
      </c>
      <c r="H649" s="3" t="s">
        <v>58</v>
      </c>
      <c r="I649" s="3" t="s">
        <v>58</v>
      </c>
      <c r="J649" s="3" t="s">
        <v>60</v>
      </c>
      <c r="K649" s="2" t="s">
        <v>4620</v>
      </c>
      <c r="L649" s="2" t="s">
        <v>4621</v>
      </c>
      <c r="M649" s="3" t="s">
        <v>4054</v>
      </c>
      <c r="N649" s="2" t="s">
        <v>834</v>
      </c>
      <c r="O649" s="3" t="s">
        <v>64</v>
      </c>
      <c r="P649" s="3" t="s">
        <v>112</v>
      </c>
      <c r="R649" s="3" t="s">
        <v>1346</v>
      </c>
      <c r="S649" s="4">
        <v>4</v>
      </c>
      <c r="T649" s="4">
        <v>4</v>
      </c>
      <c r="U649" s="5" t="s">
        <v>2009</v>
      </c>
      <c r="V649" s="5" t="s">
        <v>2009</v>
      </c>
      <c r="W649" s="5" t="s">
        <v>4622</v>
      </c>
      <c r="X649" s="5" t="s">
        <v>4622</v>
      </c>
      <c r="Y649" s="4">
        <v>275</v>
      </c>
      <c r="Z649" s="4">
        <v>192</v>
      </c>
      <c r="AA649" s="4">
        <v>195</v>
      </c>
      <c r="AB649" s="4">
        <v>2</v>
      </c>
      <c r="AC649" s="4">
        <v>2</v>
      </c>
      <c r="AD649" s="4">
        <v>7</v>
      </c>
      <c r="AE649" s="4">
        <v>7</v>
      </c>
      <c r="AF649" s="4">
        <v>3</v>
      </c>
      <c r="AG649" s="4">
        <v>3</v>
      </c>
      <c r="AH649" s="4">
        <v>2</v>
      </c>
      <c r="AI649" s="4">
        <v>2</v>
      </c>
      <c r="AJ649" s="4">
        <v>2</v>
      </c>
      <c r="AK649" s="4">
        <v>2</v>
      </c>
      <c r="AL649" s="4">
        <v>1</v>
      </c>
      <c r="AM649" s="4">
        <v>1</v>
      </c>
      <c r="AN649" s="4">
        <v>0</v>
      </c>
      <c r="AO649" s="4">
        <v>0</v>
      </c>
      <c r="AP649" s="3" t="s">
        <v>58</v>
      </c>
      <c r="AQ649" s="3" t="s">
        <v>115</v>
      </c>
      <c r="AR649" s="6" t="str">
        <f>HYPERLINK("http://catalog.hathitrust.org/Record/001108536","HathiTrust Record")</f>
        <v>HathiTrust Record</v>
      </c>
      <c r="AS649" s="6" t="str">
        <f>HYPERLINK("https://creighton-primo.hosted.exlibrisgroup.com/primo-explore/search?tab=default_tab&amp;search_scope=EVERYTHING&amp;vid=01CRU&amp;lang=en_US&amp;offset=0&amp;query=any,contains,991000965429702656","Catalog Record")</f>
        <v>Catalog Record</v>
      </c>
      <c r="AT649" s="6" t="str">
        <f>HYPERLINK("http://www.worldcat.org/oclc/489576","WorldCat Record")</f>
        <v>WorldCat Record</v>
      </c>
    </row>
    <row r="650" spans="1:46" ht="40.5" customHeight="1" x14ac:dyDescent="0.25">
      <c r="A650" s="8" t="s">
        <v>58</v>
      </c>
      <c r="B650" s="2" t="s">
        <v>4623</v>
      </c>
      <c r="C650" s="2" t="s">
        <v>4624</v>
      </c>
      <c r="D650" s="2" t="s">
        <v>4625</v>
      </c>
      <c r="F650" s="3" t="s">
        <v>58</v>
      </c>
      <c r="G650" s="3" t="s">
        <v>59</v>
      </c>
      <c r="H650" s="3" t="s">
        <v>115</v>
      </c>
      <c r="I650" s="3" t="s">
        <v>115</v>
      </c>
      <c r="J650" s="3" t="s">
        <v>1367</v>
      </c>
      <c r="K650" s="2" t="s">
        <v>4626</v>
      </c>
      <c r="L650" s="2" t="s">
        <v>4627</v>
      </c>
      <c r="M650" s="3" t="s">
        <v>468</v>
      </c>
      <c r="O650" s="3" t="s">
        <v>64</v>
      </c>
      <c r="P650" s="3" t="s">
        <v>65</v>
      </c>
      <c r="R650" s="3" t="s">
        <v>1346</v>
      </c>
      <c r="S650" s="4">
        <v>88</v>
      </c>
      <c r="T650" s="4">
        <v>102</v>
      </c>
      <c r="U650" s="5" t="s">
        <v>2424</v>
      </c>
      <c r="V650" s="5" t="s">
        <v>4628</v>
      </c>
      <c r="W650" s="5" t="s">
        <v>4350</v>
      </c>
      <c r="X650" s="5" t="s">
        <v>2306</v>
      </c>
      <c r="Y650" s="4">
        <v>100</v>
      </c>
      <c r="Z650" s="4">
        <v>54</v>
      </c>
      <c r="AA650" s="4">
        <v>546</v>
      </c>
      <c r="AB650" s="4">
        <v>1</v>
      </c>
      <c r="AC650" s="4">
        <v>22</v>
      </c>
      <c r="AD650" s="4">
        <v>1</v>
      </c>
      <c r="AE650" s="4">
        <v>19</v>
      </c>
      <c r="AF650" s="4">
        <v>0</v>
      </c>
      <c r="AG650" s="4">
        <v>6</v>
      </c>
      <c r="AH650" s="4">
        <v>1</v>
      </c>
      <c r="AI650" s="4">
        <v>3</v>
      </c>
      <c r="AJ650" s="4">
        <v>0</v>
      </c>
      <c r="AK650" s="4">
        <v>2</v>
      </c>
      <c r="AL650" s="4">
        <v>0</v>
      </c>
      <c r="AM650" s="4">
        <v>10</v>
      </c>
      <c r="AN650" s="4">
        <v>0</v>
      </c>
      <c r="AO650" s="4">
        <v>0</v>
      </c>
      <c r="AP650" s="3" t="s">
        <v>58</v>
      </c>
      <c r="AQ650" s="3" t="s">
        <v>115</v>
      </c>
      <c r="AR650" s="6" t="str">
        <f>HYPERLINK("http://catalog.hathitrust.org/Record/004929869","HathiTrust Record")</f>
        <v>HathiTrust Record</v>
      </c>
      <c r="AS650" s="6" t="str">
        <f>HYPERLINK("https://creighton-primo.hosted.exlibrisgroup.com/primo-explore/search?tab=default_tab&amp;search_scope=EVERYTHING&amp;vid=01CRU&amp;lang=en_US&amp;offset=0&amp;query=any,contains,991000422859702656","Catalog Record")</f>
        <v>Catalog Record</v>
      </c>
      <c r="AT650" s="6" t="str">
        <f>HYPERLINK("http://www.worldcat.org/oclc/56011324","WorldCat Record")</f>
        <v>WorldCat Record</v>
      </c>
    </row>
    <row r="651" spans="1:46" ht="40.5" customHeight="1" x14ac:dyDescent="0.25">
      <c r="A651" s="8" t="s">
        <v>58</v>
      </c>
      <c r="B651" s="2" t="s">
        <v>4629</v>
      </c>
      <c r="C651" s="2" t="s">
        <v>4630</v>
      </c>
      <c r="D651" s="2" t="s">
        <v>4631</v>
      </c>
      <c r="F651" s="3" t="s">
        <v>58</v>
      </c>
      <c r="G651" s="3" t="s">
        <v>59</v>
      </c>
      <c r="H651" s="3" t="s">
        <v>58</v>
      </c>
      <c r="I651" s="3" t="s">
        <v>58</v>
      </c>
      <c r="J651" s="3" t="s">
        <v>60</v>
      </c>
      <c r="L651" s="2" t="s">
        <v>4632</v>
      </c>
      <c r="M651" s="3" t="s">
        <v>993</v>
      </c>
      <c r="O651" s="3" t="s">
        <v>64</v>
      </c>
      <c r="P651" s="3" t="s">
        <v>643</v>
      </c>
      <c r="R651" s="3" t="s">
        <v>1346</v>
      </c>
      <c r="S651" s="4">
        <v>33</v>
      </c>
      <c r="T651" s="4">
        <v>33</v>
      </c>
      <c r="U651" s="5" t="s">
        <v>4633</v>
      </c>
      <c r="V651" s="5" t="s">
        <v>4633</v>
      </c>
      <c r="W651" s="5" t="s">
        <v>4634</v>
      </c>
      <c r="X651" s="5" t="s">
        <v>4634</v>
      </c>
      <c r="Y651" s="4">
        <v>61</v>
      </c>
      <c r="Z651" s="4">
        <v>55</v>
      </c>
      <c r="AA651" s="4">
        <v>120</v>
      </c>
      <c r="AB651" s="4">
        <v>1</v>
      </c>
      <c r="AC651" s="4">
        <v>1</v>
      </c>
      <c r="AD651" s="4">
        <v>2</v>
      </c>
      <c r="AE651" s="4">
        <v>7</v>
      </c>
      <c r="AF651" s="4">
        <v>1</v>
      </c>
      <c r="AG651" s="4">
        <v>4</v>
      </c>
      <c r="AH651" s="4">
        <v>1</v>
      </c>
      <c r="AI651" s="4">
        <v>1</v>
      </c>
      <c r="AJ651" s="4">
        <v>0</v>
      </c>
      <c r="AK651" s="4">
        <v>3</v>
      </c>
      <c r="AL651" s="4">
        <v>0</v>
      </c>
      <c r="AM651" s="4">
        <v>0</v>
      </c>
      <c r="AN651" s="4">
        <v>0</v>
      </c>
      <c r="AO651" s="4">
        <v>0</v>
      </c>
      <c r="AP651" s="3" t="s">
        <v>58</v>
      </c>
      <c r="AQ651" s="3" t="s">
        <v>115</v>
      </c>
      <c r="AR651" s="6" t="str">
        <f>HYPERLINK("http://catalog.hathitrust.org/Record/004059522","HathiTrust Record")</f>
        <v>HathiTrust Record</v>
      </c>
      <c r="AS651" s="6" t="str">
        <f>HYPERLINK("https://creighton-primo.hosted.exlibrisgroup.com/primo-explore/search?tab=default_tab&amp;search_scope=EVERYTHING&amp;vid=01CRU&amp;lang=en_US&amp;offset=0&amp;query=any,contains,991000797549702656","Catalog Record")</f>
        <v>Catalog Record</v>
      </c>
      <c r="AT651" s="6" t="str">
        <f>HYPERLINK("http://www.worldcat.org/oclc/41482478","WorldCat Record")</f>
        <v>WorldCat Record</v>
      </c>
    </row>
    <row r="652" spans="1:46" ht="40.5" customHeight="1" x14ac:dyDescent="0.25">
      <c r="A652" s="8" t="s">
        <v>58</v>
      </c>
      <c r="B652" s="2" t="s">
        <v>4635</v>
      </c>
      <c r="C652" s="2" t="s">
        <v>4636</v>
      </c>
      <c r="D652" s="2" t="s">
        <v>4637</v>
      </c>
      <c r="F652" s="3" t="s">
        <v>58</v>
      </c>
      <c r="G652" s="3" t="s">
        <v>59</v>
      </c>
      <c r="H652" s="3" t="s">
        <v>58</v>
      </c>
      <c r="I652" s="3" t="s">
        <v>58</v>
      </c>
      <c r="J652" s="3" t="s">
        <v>60</v>
      </c>
      <c r="L652" s="2" t="s">
        <v>4638</v>
      </c>
      <c r="M652" s="3" t="s">
        <v>993</v>
      </c>
      <c r="O652" s="3" t="s">
        <v>64</v>
      </c>
      <c r="P652" s="3" t="s">
        <v>65</v>
      </c>
      <c r="R652" s="3" t="s">
        <v>1346</v>
      </c>
      <c r="S652" s="4">
        <v>13</v>
      </c>
      <c r="T652" s="4">
        <v>13</v>
      </c>
      <c r="U652" s="5" t="s">
        <v>4639</v>
      </c>
      <c r="V652" s="5" t="s">
        <v>4639</v>
      </c>
      <c r="W652" s="5" t="s">
        <v>4640</v>
      </c>
      <c r="X652" s="5" t="s">
        <v>4640</v>
      </c>
      <c r="Y652" s="4">
        <v>87</v>
      </c>
      <c r="Z652" s="4">
        <v>68</v>
      </c>
      <c r="AA652" s="4">
        <v>75</v>
      </c>
      <c r="AB652" s="4">
        <v>1</v>
      </c>
      <c r="AC652" s="4">
        <v>1</v>
      </c>
      <c r="AD652" s="4">
        <v>2</v>
      </c>
      <c r="AE652" s="4">
        <v>2</v>
      </c>
      <c r="AF652" s="4">
        <v>0</v>
      </c>
      <c r="AG652" s="4">
        <v>0</v>
      </c>
      <c r="AH652" s="4">
        <v>1</v>
      </c>
      <c r="AI652" s="4">
        <v>1</v>
      </c>
      <c r="AJ652" s="4">
        <v>1</v>
      </c>
      <c r="AK652" s="4">
        <v>1</v>
      </c>
      <c r="AL652" s="4">
        <v>0</v>
      </c>
      <c r="AM652" s="4">
        <v>0</v>
      </c>
      <c r="AN652" s="4">
        <v>0</v>
      </c>
      <c r="AO652" s="4">
        <v>0</v>
      </c>
      <c r="AP652" s="3" t="s">
        <v>58</v>
      </c>
      <c r="AQ652" s="3" t="s">
        <v>115</v>
      </c>
      <c r="AR652" s="6" t="str">
        <f>HYPERLINK("http://catalog.hathitrust.org/Record/004026770","HathiTrust Record")</f>
        <v>HathiTrust Record</v>
      </c>
      <c r="AS652" s="6" t="str">
        <f>HYPERLINK("https://creighton-primo.hosted.exlibrisgroup.com/primo-explore/search?tab=default_tab&amp;search_scope=EVERYTHING&amp;vid=01CRU&amp;lang=en_US&amp;offset=0&amp;query=any,contains,991001564409702656","Catalog Record")</f>
        <v>Catalog Record</v>
      </c>
      <c r="AT652" s="6" t="str">
        <f>HYPERLINK("http://www.worldcat.org/oclc/40200352","WorldCat Record")</f>
        <v>WorldCat Record</v>
      </c>
    </row>
    <row r="653" spans="1:46" ht="40.5" customHeight="1" x14ac:dyDescent="0.25">
      <c r="A653" s="8" t="s">
        <v>58</v>
      </c>
      <c r="B653" s="2" t="s">
        <v>4641</v>
      </c>
      <c r="C653" s="2" t="s">
        <v>4642</v>
      </c>
      <c r="D653" s="2" t="s">
        <v>4643</v>
      </c>
      <c r="F653" s="3" t="s">
        <v>58</v>
      </c>
      <c r="G653" s="3" t="s">
        <v>59</v>
      </c>
      <c r="H653" s="3" t="s">
        <v>58</v>
      </c>
      <c r="I653" s="3" t="s">
        <v>115</v>
      </c>
      <c r="J653" s="3" t="s">
        <v>60</v>
      </c>
      <c r="L653" s="2" t="s">
        <v>4644</v>
      </c>
      <c r="M653" s="3" t="s">
        <v>306</v>
      </c>
      <c r="O653" s="3" t="s">
        <v>64</v>
      </c>
      <c r="P653" s="3" t="s">
        <v>65</v>
      </c>
      <c r="R653" s="3" t="s">
        <v>1346</v>
      </c>
      <c r="S653" s="4">
        <v>20</v>
      </c>
      <c r="T653" s="4">
        <v>20</v>
      </c>
      <c r="U653" s="5" t="s">
        <v>4645</v>
      </c>
      <c r="V653" s="5" t="s">
        <v>4645</v>
      </c>
      <c r="W653" s="5" t="s">
        <v>4646</v>
      </c>
      <c r="X653" s="5" t="s">
        <v>4646</v>
      </c>
      <c r="Y653" s="4">
        <v>76</v>
      </c>
      <c r="Z653" s="4">
        <v>55</v>
      </c>
      <c r="AA653" s="4">
        <v>111</v>
      </c>
      <c r="AB653" s="4">
        <v>1</v>
      </c>
      <c r="AC653" s="4">
        <v>1</v>
      </c>
      <c r="AD653" s="4">
        <v>3</v>
      </c>
      <c r="AE653" s="4">
        <v>7</v>
      </c>
      <c r="AF653" s="4">
        <v>2</v>
      </c>
      <c r="AG653" s="4">
        <v>5</v>
      </c>
      <c r="AH653" s="4">
        <v>1</v>
      </c>
      <c r="AI653" s="4">
        <v>2</v>
      </c>
      <c r="AJ653" s="4">
        <v>0</v>
      </c>
      <c r="AK653" s="4">
        <v>2</v>
      </c>
      <c r="AL653" s="4">
        <v>0</v>
      </c>
      <c r="AM653" s="4">
        <v>0</v>
      </c>
      <c r="AN653" s="4">
        <v>0</v>
      </c>
      <c r="AO653" s="4">
        <v>0</v>
      </c>
      <c r="AP653" s="3" t="s">
        <v>58</v>
      </c>
      <c r="AQ653" s="3" t="s">
        <v>58</v>
      </c>
      <c r="AS653" s="6" t="str">
        <f>HYPERLINK("https://creighton-primo.hosted.exlibrisgroup.com/primo-explore/search?tab=default_tab&amp;search_scope=EVERYTHING&amp;vid=01CRU&amp;lang=en_US&amp;offset=0&amp;query=any,contains,991001442619702656","Catalog Record")</f>
        <v>Catalog Record</v>
      </c>
      <c r="AT653" s="6" t="str">
        <f>HYPERLINK("http://www.worldcat.org/oclc/32351943","WorldCat Record")</f>
        <v>WorldCat Record</v>
      </c>
    </row>
    <row r="654" spans="1:46" ht="40.5" customHeight="1" x14ac:dyDescent="0.25">
      <c r="A654" s="8" t="s">
        <v>58</v>
      </c>
      <c r="B654" s="2" t="s">
        <v>4647</v>
      </c>
      <c r="C654" s="2" t="s">
        <v>4648</v>
      </c>
      <c r="D654" s="2" t="s">
        <v>4649</v>
      </c>
      <c r="F654" s="3" t="s">
        <v>58</v>
      </c>
      <c r="G654" s="3" t="s">
        <v>59</v>
      </c>
      <c r="H654" s="3" t="s">
        <v>58</v>
      </c>
      <c r="I654" s="3" t="s">
        <v>115</v>
      </c>
      <c r="J654" s="3" t="s">
        <v>60</v>
      </c>
      <c r="L654" s="2" t="s">
        <v>4650</v>
      </c>
      <c r="M654" s="3" t="s">
        <v>572</v>
      </c>
      <c r="N654" s="2" t="s">
        <v>143</v>
      </c>
      <c r="O654" s="3" t="s">
        <v>64</v>
      </c>
      <c r="P654" s="3" t="s">
        <v>643</v>
      </c>
      <c r="R654" s="3" t="s">
        <v>1346</v>
      </c>
      <c r="S654" s="4">
        <v>3</v>
      </c>
      <c r="T654" s="4">
        <v>3</v>
      </c>
      <c r="U654" s="5" t="s">
        <v>3083</v>
      </c>
      <c r="V654" s="5" t="s">
        <v>3083</v>
      </c>
      <c r="W654" s="5" t="s">
        <v>2195</v>
      </c>
      <c r="X654" s="5" t="s">
        <v>2195</v>
      </c>
      <c r="Y654" s="4">
        <v>99</v>
      </c>
      <c r="Z654" s="4">
        <v>69</v>
      </c>
      <c r="AA654" s="4">
        <v>111</v>
      </c>
      <c r="AB654" s="4">
        <v>1</v>
      </c>
      <c r="AC654" s="4">
        <v>1</v>
      </c>
      <c r="AD654" s="4">
        <v>4</v>
      </c>
      <c r="AE654" s="4">
        <v>7</v>
      </c>
      <c r="AF654" s="4">
        <v>3</v>
      </c>
      <c r="AG654" s="4">
        <v>5</v>
      </c>
      <c r="AH654" s="4">
        <v>1</v>
      </c>
      <c r="AI654" s="4">
        <v>2</v>
      </c>
      <c r="AJ654" s="4">
        <v>2</v>
      </c>
      <c r="AK654" s="4">
        <v>2</v>
      </c>
      <c r="AL654" s="4">
        <v>0</v>
      </c>
      <c r="AM654" s="4">
        <v>0</v>
      </c>
      <c r="AN654" s="4">
        <v>0</v>
      </c>
      <c r="AO654" s="4">
        <v>0</v>
      </c>
      <c r="AP654" s="3" t="s">
        <v>58</v>
      </c>
      <c r="AQ654" s="3" t="s">
        <v>115</v>
      </c>
      <c r="AR654" s="6" t="str">
        <f>HYPERLINK("http://catalog.hathitrust.org/Record/003816985","HathiTrust Record")</f>
        <v>HathiTrust Record</v>
      </c>
      <c r="AS654" s="6" t="str">
        <f>HYPERLINK("https://creighton-primo.hosted.exlibrisgroup.com/primo-explore/search?tab=default_tab&amp;search_scope=EVERYTHING&amp;vid=01CRU&amp;lang=en_US&amp;offset=0&amp;query=any,contains,991000337629702656","Catalog Record")</f>
        <v>Catalog Record</v>
      </c>
      <c r="AT654" s="6" t="str">
        <f>HYPERLINK("http://www.worldcat.org/oclc/50680535","WorldCat Record")</f>
        <v>WorldCat Record</v>
      </c>
    </row>
    <row r="655" spans="1:46" ht="40.5" customHeight="1" x14ac:dyDescent="0.25">
      <c r="A655" s="8" t="s">
        <v>58</v>
      </c>
      <c r="B655" s="2" t="s">
        <v>4651</v>
      </c>
      <c r="C655" s="2" t="s">
        <v>4652</v>
      </c>
      <c r="D655" s="2" t="s">
        <v>4653</v>
      </c>
      <c r="F655" s="3" t="s">
        <v>58</v>
      </c>
      <c r="G655" s="3" t="s">
        <v>59</v>
      </c>
      <c r="H655" s="3" t="s">
        <v>58</v>
      </c>
      <c r="I655" s="3" t="s">
        <v>115</v>
      </c>
      <c r="J655" s="3" t="s">
        <v>60</v>
      </c>
      <c r="L655" s="2" t="s">
        <v>4654</v>
      </c>
      <c r="M655" s="3" t="s">
        <v>142</v>
      </c>
      <c r="O655" s="3" t="s">
        <v>64</v>
      </c>
      <c r="P655" s="3" t="s">
        <v>65</v>
      </c>
      <c r="R655" s="3" t="s">
        <v>1346</v>
      </c>
      <c r="S655" s="4">
        <v>53</v>
      </c>
      <c r="T655" s="4">
        <v>53</v>
      </c>
      <c r="U655" s="5" t="s">
        <v>4401</v>
      </c>
      <c r="V655" s="5" t="s">
        <v>4401</v>
      </c>
      <c r="W655" s="5" t="s">
        <v>1727</v>
      </c>
      <c r="X655" s="5" t="s">
        <v>1727</v>
      </c>
      <c r="Y655" s="4">
        <v>148</v>
      </c>
      <c r="Z655" s="4">
        <v>121</v>
      </c>
      <c r="AA655" s="4">
        <v>308</v>
      </c>
      <c r="AB655" s="4">
        <v>2</v>
      </c>
      <c r="AC655" s="4">
        <v>4</v>
      </c>
      <c r="AD655" s="4">
        <v>4</v>
      </c>
      <c r="AE655" s="4">
        <v>16</v>
      </c>
      <c r="AF655" s="4">
        <v>1</v>
      </c>
      <c r="AG655" s="4">
        <v>7</v>
      </c>
      <c r="AH655" s="4">
        <v>3</v>
      </c>
      <c r="AI655" s="4">
        <v>4</v>
      </c>
      <c r="AJ655" s="4">
        <v>1</v>
      </c>
      <c r="AK655" s="4">
        <v>5</v>
      </c>
      <c r="AL655" s="4">
        <v>0</v>
      </c>
      <c r="AM655" s="4">
        <v>2</v>
      </c>
      <c r="AN655" s="4">
        <v>1</v>
      </c>
      <c r="AO655" s="4">
        <v>2</v>
      </c>
      <c r="AP655" s="3" t="s">
        <v>58</v>
      </c>
      <c r="AQ655" s="3" t="s">
        <v>115</v>
      </c>
      <c r="AR655" s="6" t="str">
        <f>HYPERLINK("http://catalog.hathitrust.org/Record/002500856","HathiTrust Record")</f>
        <v>HathiTrust Record</v>
      </c>
      <c r="AS655" s="6" t="str">
        <f>HYPERLINK("https://creighton-primo.hosted.exlibrisgroup.com/primo-explore/search?tab=default_tab&amp;search_scope=EVERYTHING&amp;vid=01CRU&amp;lang=en_US&amp;offset=0&amp;query=any,contains,991001013699702656","Catalog Record")</f>
        <v>Catalog Record</v>
      </c>
      <c r="AT655" s="6" t="str">
        <f>HYPERLINK("http://www.worldcat.org/oclc/22208754","WorldCat Record")</f>
        <v>WorldCat Record</v>
      </c>
    </row>
    <row r="656" spans="1:46" ht="40.5" customHeight="1" x14ac:dyDescent="0.25">
      <c r="A656" s="8" t="s">
        <v>58</v>
      </c>
      <c r="B656" s="2" t="s">
        <v>4655</v>
      </c>
      <c r="C656" s="2" t="s">
        <v>4656</v>
      </c>
      <c r="D656" s="2" t="s">
        <v>4657</v>
      </c>
      <c r="F656" s="3" t="s">
        <v>58</v>
      </c>
      <c r="G656" s="3" t="s">
        <v>59</v>
      </c>
      <c r="H656" s="3" t="s">
        <v>58</v>
      </c>
      <c r="I656" s="3" t="s">
        <v>115</v>
      </c>
      <c r="J656" s="3" t="s">
        <v>60</v>
      </c>
      <c r="L656" s="2" t="s">
        <v>4658</v>
      </c>
      <c r="M656" s="3" t="s">
        <v>468</v>
      </c>
      <c r="N656" s="2" t="s">
        <v>936</v>
      </c>
      <c r="O656" s="3" t="s">
        <v>64</v>
      </c>
      <c r="P656" s="3" t="s">
        <v>65</v>
      </c>
      <c r="R656" s="3" t="s">
        <v>1346</v>
      </c>
      <c r="S656" s="4">
        <v>5</v>
      </c>
      <c r="T656" s="4">
        <v>5</v>
      </c>
      <c r="U656" s="5" t="s">
        <v>4659</v>
      </c>
      <c r="V656" s="5" t="s">
        <v>4659</v>
      </c>
      <c r="W656" s="5" t="s">
        <v>2615</v>
      </c>
      <c r="X656" s="5" t="s">
        <v>2615</v>
      </c>
      <c r="Y656" s="4">
        <v>125</v>
      </c>
      <c r="Z656" s="4">
        <v>110</v>
      </c>
      <c r="AA656" s="4">
        <v>308</v>
      </c>
      <c r="AB656" s="4">
        <v>2</v>
      </c>
      <c r="AC656" s="4">
        <v>4</v>
      </c>
      <c r="AD656" s="4">
        <v>8</v>
      </c>
      <c r="AE656" s="4">
        <v>16</v>
      </c>
      <c r="AF656" s="4">
        <v>4</v>
      </c>
      <c r="AG656" s="4">
        <v>7</v>
      </c>
      <c r="AH656" s="4">
        <v>2</v>
      </c>
      <c r="AI656" s="4">
        <v>4</v>
      </c>
      <c r="AJ656" s="4">
        <v>3</v>
      </c>
      <c r="AK656" s="4">
        <v>5</v>
      </c>
      <c r="AL656" s="4">
        <v>1</v>
      </c>
      <c r="AM656" s="4">
        <v>2</v>
      </c>
      <c r="AN656" s="4">
        <v>0</v>
      </c>
      <c r="AO656" s="4">
        <v>2</v>
      </c>
      <c r="AP656" s="3" t="s">
        <v>58</v>
      </c>
      <c r="AQ656" s="3" t="s">
        <v>58</v>
      </c>
      <c r="AS656" s="6" t="str">
        <f>HYPERLINK("https://creighton-primo.hosted.exlibrisgroup.com/primo-explore/search?tab=default_tab&amp;search_scope=EVERYTHING&amp;vid=01CRU&amp;lang=en_US&amp;offset=0&amp;query=any,contains,991000446669702656","Catalog Record")</f>
        <v>Catalog Record</v>
      </c>
      <c r="AT656" s="6" t="str">
        <f>HYPERLINK("http://www.worldcat.org/oclc/57405371","WorldCat Record")</f>
        <v>WorldCat Record</v>
      </c>
    </row>
    <row r="657" spans="1:46" ht="40.5" customHeight="1" x14ac:dyDescent="0.25">
      <c r="A657" s="8" t="s">
        <v>58</v>
      </c>
      <c r="B657" s="2" t="s">
        <v>4660</v>
      </c>
      <c r="C657" s="2" t="s">
        <v>4661</v>
      </c>
      <c r="D657" s="2" t="s">
        <v>4662</v>
      </c>
      <c r="F657" s="3" t="s">
        <v>58</v>
      </c>
      <c r="G657" s="3" t="s">
        <v>59</v>
      </c>
      <c r="H657" s="3" t="s">
        <v>58</v>
      </c>
      <c r="I657" s="3" t="s">
        <v>115</v>
      </c>
      <c r="J657" s="3" t="s">
        <v>60</v>
      </c>
      <c r="L657" s="2" t="s">
        <v>4663</v>
      </c>
      <c r="M657" s="3" t="s">
        <v>572</v>
      </c>
      <c r="N657" s="2" t="s">
        <v>143</v>
      </c>
      <c r="O657" s="3" t="s">
        <v>64</v>
      </c>
      <c r="P657" s="3" t="s">
        <v>755</v>
      </c>
      <c r="R657" s="3" t="s">
        <v>1346</v>
      </c>
      <c r="S657" s="4">
        <v>10</v>
      </c>
      <c r="T657" s="4">
        <v>10</v>
      </c>
      <c r="U657" s="5" t="s">
        <v>4664</v>
      </c>
      <c r="V657" s="5" t="s">
        <v>4664</v>
      </c>
      <c r="W657" s="5" t="s">
        <v>2298</v>
      </c>
      <c r="X657" s="5" t="s">
        <v>2298</v>
      </c>
      <c r="Y657" s="4">
        <v>95</v>
      </c>
      <c r="Z657" s="4">
        <v>60</v>
      </c>
      <c r="AA657" s="4">
        <v>116</v>
      </c>
      <c r="AB657" s="4">
        <v>1</v>
      </c>
      <c r="AC657" s="4">
        <v>1</v>
      </c>
      <c r="AD657" s="4">
        <v>2</v>
      </c>
      <c r="AE657" s="4">
        <v>6</v>
      </c>
      <c r="AF657" s="4">
        <v>2</v>
      </c>
      <c r="AG657" s="4">
        <v>4</v>
      </c>
      <c r="AH657" s="4">
        <v>1</v>
      </c>
      <c r="AI657" s="4">
        <v>2</v>
      </c>
      <c r="AJ657" s="4">
        <v>0</v>
      </c>
      <c r="AK657" s="4">
        <v>2</v>
      </c>
      <c r="AL657" s="4">
        <v>0</v>
      </c>
      <c r="AM657" s="4">
        <v>0</v>
      </c>
      <c r="AN657" s="4">
        <v>0</v>
      </c>
      <c r="AO657" s="4">
        <v>0</v>
      </c>
      <c r="AP657" s="3" t="s">
        <v>58</v>
      </c>
      <c r="AQ657" s="3" t="s">
        <v>115</v>
      </c>
      <c r="AR657" s="6" t="str">
        <f>HYPERLINK("http://catalog.hathitrust.org/Record/004323216","HathiTrust Record")</f>
        <v>HathiTrust Record</v>
      </c>
      <c r="AS657" s="6" t="str">
        <f>HYPERLINK("https://creighton-primo.hosted.exlibrisgroup.com/primo-explore/search?tab=default_tab&amp;search_scope=EVERYTHING&amp;vid=01CRU&amp;lang=en_US&amp;offset=0&amp;query=any,contains,991000352389702656","Catalog Record")</f>
        <v>Catalog Record</v>
      </c>
      <c r="AT657" s="6" t="str">
        <f>HYPERLINK("http://www.worldcat.org/oclc/51553581","WorldCat Record")</f>
        <v>WorldCat Record</v>
      </c>
    </row>
    <row r="658" spans="1:46" ht="40.5" customHeight="1" x14ac:dyDescent="0.25">
      <c r="A658" s="8" t="s">
        <v>58</v>
      </c>
      <c r="B658" s="2" t="s">
        <v>4665</v>
      </c>
      <c r="C658" s="2" t="s">
        <v>4666</v>
      </c>
      <c r="D658" s="2" t="s">
        <v>4667</v>
      </c>
      <c r="F658" s="3" t="s">
        <v>58</v>
      </c>
      <c r="G658" s="3" t="s">
        <v>59</v>
      </c>
      <c r="H658" s="3" t="s">
        <v>58</v>
      </c>
      <c r="I658" s="3" t="s">
        <v>115</v>
      </c>
      <c r="J658" s="3" t="s">
        <v>60</v>
      </c>
      <c r="K658" s="2" t="s">
        <v>4668</v>
      </c>
      <c r="L658" s="2" t="s">
        <v>4669</v>
      </c>
      <c r="M658" s="3" t="s">
        <v>1023</v>
      </c>
      <c r="N658" s="2" t="s">
        <v>936</v>
      </c>
      <c r="O658" s="3" t="s">
        <v>64</v>
      </c>
      <c r="P658" s="3" t="s">
        <v>755</v>
      </c>
      <c r="R658" s="3" t="s">
        <v>1346</v>
      </c>
      <c r="S658" s="4">
        <v>14</v>
      </c>
      <c r="T658" s="4">
        <v>14</v>
      </c>
      <c r="U658" s="5" t="s">
        <v>1289</v>
      </c>
      <c r="V658" s="5" t="s">
        <v>1289</v>
      </c>
      <c r="W658" s="5" t="s">
        <v>4664</v>
      </c>
      <c r="X658" s="5" t="s">
        <v>4664</v>
      </c>
      <c r="Y658" s="4">
        <v>107</v>
      </c>
      <c r="Z658" s="4">
        <v>71</v>
      </c>
      <c r="AA658" s="4">
        <v>116</v>
      </c>
      <c r="AB658" s="4">
        <v>1</v>
      </c>
      <c r="AC658" s="4">
        <v>1</v>
      </c>
      <c r="AD658" s="4">
        <v>5</v>
      </c>
      <c r="AE658" s="4">
        <v>6</v>
      </c>
      <c r="AF658" s="4">
        <v>3</v>
      </c>
      <c r="AG658" s="4">
        <v>4</v>
      </c>
      <c r="AH658" s="4">
        <v>1</v>
      </c>
      <c r="AI658" s="4">
        <v>2</v>
      </c>
      <c r="AJ658" s="4">
        <v>2</v>
      </c>
      <c r="AK658" s="4">
        <v>2</v>
      </c>
      <c r="AL658" s="4">
        <v>0</v>
      </c>
      <c r="AM658" s="4">
        <v>0</v>
      </c>
      <c r="AN658" s="4">
        <v>0</v>
      </c>
      <c r="AO658" s="4">
        <v>0</v>
      </c>
      <c r="AP658" s="3" t="s">
        <v>58</v>
      </c>
      <c r="AQ658" s="3" t="s">
        <v>58</v>
      </c>
      <c r="AS658" s="6" t="str">
        <f>HYPERLINK("https://creighton-primo.hosted.exlibrisgroup.com/primo-explore/search?tab=default_tab&amp;search_scope=EVERYTHING&amp;vid=01CRU&amp;lang=en_US&amp;offset=0&amp;query=any,contains,991000660659702656","Catalog Record")</f>
        <v>Catalog Record</v>
      </c>
      <c r="AT658" s="6" t="str">
        <f>HYPERLINK("http://www.worldcat.org/oclc/80180950","WorldCat Record")</f>
        <v>WorldCat Record</v>
      </c>
    </row>
    <row r="659" spans="1:46" ht="40.5" customHeight="1" x14ac:dyDescent="0.25">
      <c r="A659" s="8" t="s">
        <v>58</v>
      </c>
      <c r="B659" s="2" t="s">
        <v>4670</v>
      </c>
      <c r="C659" s="2" t="s">
        <v>4671</v>
      </c>
      <c r="D659" s="2" t="s">
        <v>4672</v>
      </c>
      <c r="F659" s="3" t="s">
        <v>58</v>
      </c>
      <c r="G659" s="3" t="s">
        <v>59</v>
      </c>
      <c r="H659" s="3" t="s">
        <v>58</v>
      </c>
      <c r="I659" s="3" t="s">
        <v>58</v>
      </c>
      <c r="J659" s="3" t="s">
        <v>60</v>
      </c>
      <c r="L659" s="2" t="s">
        <v>4673</v>
      </c>
      <c r="M659" s="3" t="s">
        <v>4674</v>
      </c>
      <c r="N659" s="2" t="s">
        <v>1344</v>
      </c>
      <c r="O659" s="3" t="s">
        <v>64</v>
      </c>
      <c r="P659" s="3" t="s">
        <v>1355</v>
      </c>
      <c r="R659" s="3" t="s">
        <v>1346</v>
      </c>
      <c r="S659" s="4">
        <v>0</v>
      </c>
      <c r="T659" s="4">
        <v>0</v>
      </c>
      <c r="U659" s="5" t="s">
        <v>2379</v>
      </c>
      <c r="V659" s="5" t="s">
        <v>2379</v>
      </c>
      <c r="W659" s="5" t="s">
        <v>3664</v>
      </c>
      <c r="X659" s="5" t="s">
        <v>3664</v>
      </c>
      <c r="Y659" s="4">
        <v>28</v>
      </c>
      <c r="Z659" s="4">
        <v>27</v>
      </c>
      <c r="AA659" s="4">
        <v>83</v>
      </c>
      <c r="AB659" s="4">
        <v>1</v>
      </c>
      <c r="AC659" s="4">
        <v>1</v>
      </c>
      <c r="AD659" s="4">
        <v>0</v>
      </c>
      <c r="AE659" s="4">
        <v>2</v>
      </c>
      <c r="AF659" s="4">
        <v>0</v>
      </c>
      <c r="AG659" s="4">
        <v>2</v>
      </c>
      <c r="AH659" s="4">
        <v>0</v>
      </c>
      <c r="AI659" s="4">
        <v>1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0</v>
      </c>
      <c r="AP659" s="3" t="s">
        <v>115</v>
      </c>
      <c r="AQ659" s="3" t="s">
        <v>58</v>
      </c>
      <c r="AR659" s="6" t="str">
        <f>HYPERLINK("http://catalog.hathitrust.org/Record/009778571","HathiTrust Record")</f>
        <v>HathiTrust Record</v>
      </c>
      <c r="AS659" s="6" t="str">
        <f>HYPERLINK("https://creighton-primo.hosted.exlibrisgroup.com/primo-explore/search?tab=default_tab&amp;search_scope=EVERYTHING&amp;vid=01CRU&amp;lang=en_US&amp;offset=0&amp;query=any,contains,991000965499702656","Catalog Record")</f>
        <v>Catalog Record</v>
      </c>
      <c r="AT659" s="6" t="str">
        <f>HYPERLINK("http://www.worldcat.org/oclc/4277891","WorldCat Record")</f>
        <v>WorldCat Record</v>
      </c>
    </row>
    <row r="660" spans="1:46" ht="40.5" customHeight="1" x14ac:dyDescent="0.25">
      <c r="A660" s="8" t="s">
        <v>58</v>
      </c>
      <c r="B660" s="2" t="s">
        <v>4675</v>
      </c>
      <c r="C660" s="2" t="s">
        <v>4676</v>
      </c>
      <c r="D660" s="2" t="s">
        <v>4677</v>
      </c>
      <c r="E660" s="3" t="s">
        <v>4678</v>
      </c>
      <c r="F660" s="3" t="s">
        <v>115</v>
      </c>
      <c r="G660" s="3" t="s">
        <v>59</v>
      </c>
      <c r="H660" s="3" t="s">
        <v>58</v>
      </c>
      <c r="I660" s="3" t="s">
        <v>58</v>
      </c>
      <c r="J660" s="3" t="s">
        <v>60</v>
      </c>
      <c r="L660" s="2" t="s">
        <v>4679</v>
      </c>
      <c r="M660" s="3" t="s">
        <v>290</v>
      </c>
      <c r="O660" s="3" t="s">
        <v>64</v>
      </c>
      <c r="P660" s="3" t="s">
        <v>755</v>
      </c>
      <c r="R660" s="3" t="s">
        <v>1346</v>
      </c>
      <c r="S660" s="4">
        <v>0</v>
      </c>
      <c r="T660" s="4">
        <v>6</v>
      </c>
      <c r="V660" s="5" t="s">
        <v>4680</v>
      </c>
      <c r="W660" s="5" t="s">
        <v>4681</v>
      </c>
      <c r="X660" s="5" t="s">
        <v>4681</v>
      </c>
      <c r="Y660" s="4">
        <v>13</v>
      </c>
      <c r="Z660" s="4">
        <v>13</v>
      </c>
      <c r="AA660" s="4">
        <v>13</v>
      </c>
      <c r="AB660" s="4">
        <v>1</v>
      </c>
      <c r="AC660" s="4">
        <v>1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0</v>
      </c>
      <c r="AP660" s="3" t="s">
        <v>58</v>
      </c>
      <c r="AQ660" s="3" t="s">
        <v>58</v>
      </c>
      <c r="AS660" s="6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T660" s="6" t="str">
        <f>HYPERLINK("http://www.worldcat.org/oclc/21793065","WorldCat Record")</f>
        <v>WorldCat Record</v>
      </c>
    </row>
    <row r="661" spans="1:46" ht="40.5" customHeight="1" x14ac:dyDescent="0.25">
      <c r="A661" s="8" t="s">
        <v>58</v>
      </c>
      <c r="B661" s="2" t="s">
        <v>4675</v>
      </c>
      <c r="C661" s="2" t="s">
        <v>4676</v>
      </c>
      <c r="D661" s="2" t="s">
        <v>4677</v>
      </c>
      <c r="E661" s="3" t="s">
        <v>2382</v>
      </c>
      <c r="F661" s="3" t="s">
        <v>115</v>
      </c>
      <c r="G661" s="3" t="s">
        <v>59</v>
      </c>
      <c r="H661" s="3" t="s">
        <v>58</v>
      </c>
      <c r="I661" s="3" t="s">
        <v>58</v>
      </c>
      <c r="J661" s="3" t="s">
        <v>60</v>
      </c>
      <c r="L661" s="2" t="s">
        <v>4679</v>
      </c>
      <c r="M661" s="3" t="s">
        <v>290</v>
      </c>
      <c r="O661" s="3" t="s">
        <v>64</v>
      </c>
      <c r="P661" s="3" t="s">
        <v>755</v>
      </c>
      <c r="R661" s="3" t="s">
        <v>1346</v>
      </c>
      <c r="S661" s="4">
        <v>1</v>
      </c>
      <c r="T661" s="4">
        <v>6</v>
      </c>
      <c r="U661" s="5" t="s">
        <v>4680</v>
      </c>
      <c r="V661" s="5" t="s">
        <v>4680</v>
      </c>
      <c r="W661" s="5" t="s">
        <v>4680</v>
      </c>
      <c r="X661" s="5" t="s">
        <v>4681</v>
      </c>
      <c r="Y661" s="4">
        <v>13</v>
      </c>
      <c r="Z661" s="4">
        <v>13</v>
      </c>
      <c r="AA661" s="4">
        <v>13</v>
      </c>
      <c r="AB661" s="4">
        <v>1</v>
      </c>
      <c r="AC661" s="4">
        <v>1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0</v>
      </c>
      <c r="AP661" s="3" t="s">
        <v>58</v>
      </c>
      <c r="AQ661" s="3" t="s">
        <v>58</v>
      </c>
      <c r="AS661" s="6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T661" s="6" t="str">
        <f>HYPERLINK("http://www.worldcat.org/oclc/21793065","WorldCat Record")</f>
        <v>WorldCat Record</v>
      </c>
    </row>
    <row r="662" spans="1:46" ht="40.5" customHeight="1" x14ac:dyDescent="0.25">
      <c r="A662" s="8" t="s">
        <v>58</v>
      </c>
      <c r="B662" s="2" t="s">
        <v>4675</v>
      </c>
      <c r="C662" s="2" t="s">
        <v>4676</v>
      </c>
      <c r="D662" s="2" t="s">
        <v>4677</v>
      </c>
      <c r="E662" s="3" t="s">
        <v>480</v>
      </c>
      <c r="F662" s="3" t="s">
        <v>115</v>
      </c>
      <c r="G662" s="3" t="s">
        <v>59</v>
      </c>
      <c r="H662" s="3" t="s">
        <v>58</v>
      </c>
      <c r="I662" s="3" t="s">
        <v>58</v>
      </c>
      <c r="J662" s="3" t="s">
        <v>60</v>
      </c>
      <c r="L662" s="2" t="s">
        <v>4679</v>
      </c>
      <c r="M662" s="3" t="s">
        <v>290</v>
      </c>
      <c r="O662" s="3" t="s">
        <v>64</v>
      </c>
      <c r="P662" s="3" t="s">
        <v>755</v>
      </c>
      <c r="R662" s="3" t="s">
        <v>1346</v>
      </c>
      <c r="S662" s="4">
        <v>2</v>
      </c>
      <c r="T662" s="4">
        <v>6</v>
      </c>
      <c r="U662" s="5" t="s">
        <v>4680</v>
      </c>
      <c r="V662" s="5" t="s">
        <v>4680</v>
      </c>
      <c r="W662" s="5" t="s">
        <v>4680</v>
      </c>
      <c r="X662" s="5" t="s">
        <v>4681</v>
      </c>
      <c r="Y662" s="4">
        <v>13</v>
      </c>
      <c r="Z662" s="4">
        <v>13</v>
      </c>
      <c r="AA662" s="4">
        <v>13</v>
      </c>
      <c r="AB662" s="4">
        <v>1</v>
      </c>
      <c r="AC662" s="4">
        <v>1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0</v>
      </c>
      <c r="AP662" s="3" t="s">
        <v>58</v>
      </c>
      <c r="AQ662" s="3" t="s">
        <v>58</v>
      </c>
      <c r="AS662" s="6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T662" s="6" t="str">
        <f>HYPERLINK("http://www.worldcat.org/oclc/21793065","WorldCat Record")</f>
        <v>WorldCat Record</v>
      </c>
    </row>
    <row r="663" spans="1:46" ht="40.5" customHeight="1" x14ac:dyDescent="0.25">
      <c r="A663" s="8" t="s">
        <v>58</v>
      </c>
      <c r="B663" s="2" t="s">
        <v>4675</v>
      </c>
      <c r="C663" s="2" t="s">
        <v>4676</v>
      </c>
      <c r="D663" s="2" t="s">
        <v>4677</v>
      </c>
      <c r="E663" s="3" t="s">
        <v>492</v>
      </c>
      <c r="F663" s="3" t="s">
        <v>115</v>
      </c>
      <c r="G663" s="3" t="s">
        <v>59</v>
      </c>
      <c r="H663" s="3" t="s">
        <v>58</v>
      </c>
      <c r="I663" s="3" t="s">
        <v>58</v>
      </c>
      <c r="J663" s="3" t="s">
        <v>60</v>
      </c>
      <c r="L663" s="2" t="s">
        <v>4679</v>
      </c>
      <c r="M663" s="3" t="s">
        <v>290</v>
      </c>
      <c r="O663" s="3" t="s">
        <v>64</v>
      </c>
      <c r="P663" s="3" t="s">
        <v>755</v>
      </c>
      <c r="R663" s="3" t="s">
        <v>1346</v>
      </c>
      <c r="S663" s="4">
        <v>2</v>
      </c>
      <c r="T663" s="4">
        <v>6</v>
      </c>
      <c r="U663" s="5" t="s">
        <v>4680</v>
      </c>
      <c r="V663" s="5" t="s">
        <v>4680</v>
      </c>
      <c r="W663" s="5" t="s">
        <v>4682</v>
      </c>
      <c r="X663" s="5" t="s">
        <v>4681</v>
      </c>
      <c r="Y663" s="4">
        <v>13</v>
      </c>
      <c r="Z663" s="4">
        <v>13</v>
      </c>
      <c r="AA663" s="4">
        <v>13</v>
      </c>
      <c r="AB663" s="4">
        <v>1</v>
      </c>
      <c r="AC663" s="4">
        <v>1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0</v>
      </c>
      <c r="AP663" s="3" t="s">
        <v>58</v>
      </c>
      <c r="AQ663" s="3" t="s">
        <v>58</v>
      </c>
      <c r="AS663" s="6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T663" s="6" t="str">
        <f>HYPERLINK("http://www.worldcat.org/oclc/21793065","WorldCat Record")</f>
        <v>WorldCat Record</v>
      </c>
    </row>
    <row r="664" spans="1:46" ht="40.5" customHeight="1" x14ac:dyDescent="0.25">
      <c r="A664" s="8" t="s">
        <v>58</v>
      </c>
      <c r="B664" s="2" t="s">
        <v>4675</v>
      </c>
      <c r="C664" s="2" t="s">
        <v>4676</v>
      </c>
      <c r="D664" s="2" t="s">
        <v>4677</v>
      </c>
      <c r="E664" s="3" t="s">
        <v>4683</v>
      </c>
      <c r="F664" s="3" t="s">
        <v>115</v>
      </c>
      <c r="G664" s="3" t="s">
        <v>59</v>
      </c>
      <c r="H664" s="3" t="s">
        <v>58</v>
      </c>
      <c r="I664" s="3" t="s">
        <v>58</v>
      </c>
      <c r="J664" s="3" t="s">
        <v>60</v>
      </c>
      <c r="L664" s="2" t="s">
        <v>4679</v>
      </c>
      <c r="M664" s="3" t="s">
        <v>290</v>
      </c>
      <c r="O664" s="3" t="s">
        <v>64</v>
      </c>
      <c r="P664" s="3" t="s">
        <v>755</v>
      </c>
      <c r="R664" s="3" t="s">
        <v>1346</v>
      </c>
      <c r="S664" s="4">
        <v>1</v>
      </c>
      <c r="T664" s="4">
        <v>6</v>
      </c>
      <c r="U664" s="5" t="s">
        <v>4680</v>
      </c>
      <c r="V664" s="5" t="s">
        <v>4680</v>
      </c>
      <c r="W664" s="5" t="s">
        <v>4680</v>
      </c>
      <c r="X664" s="5" t="s">
        <v>4681</v>
      </c>
      <c r="Y664" s="4">
        <v>13</v>
      </c>
      <c r="Z664" s="4">
        <v>13</v>
      </c>
      <c r="AA664" s="4">
        <v>13</v>
      </c>
      <c r="AB664" s="4">
        <v>1</v>
      </c>
      <c r="AC664" s="4">
        <v>1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0</v>
      </c>
      <c r="AP664" s="3" t="s">
        <v>58</v>
      </c>
      <c r="AQ664" s="3" t="s">
        <v>58</v>
      </c>
      <c r="AS664" s="6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T664" s="6" t="str">
        <f>HYPERLINK("http://www.worldcat.org/oclc/21793065","WorldCat Record")</f>
        <v>WorldCat Record</v>
      </c>
    </row>
    <row r="665" spans="1:46" ht="40.5" customHeight="1" x14ac:dyDescent="0.25">
      <c r="A665" s="8" t="s">
        <v>58</v>
      </c>
      <c r="B665" s="2" t="s">
        <v>4684</v>
      </c>
      <c r="C665" s="2" t="s">
        <v>4685</v>
      </c>
      <c r="D665" s="2" t="s">
        <v>4686</v>
      </c>
      <c r="F665" s="3" t="s">
        <v>58</v>
      </c>
      <c r="G665" s="3" t="s">
        <v>59</v>
      </c>
      <c r="H665" s="3" t="s">
        <v>58</v>
      </c>
      <c r="I665" s="3" t="s">
        <v>58</v>
      </c>
      <c r="J665" s="3" t="s">
        <v>60</v>
      </c>
      <c r="L665" s="2" t="s">
        <v>4687</v>
      </c>
      <c r="M665" s="3" t="s">
        <v>142</v>
      </c>
      <c r="O665" s="3" t="s">
        <v>64</v>
      </c>
      <c r="P665" s="3" t="s">
        <v>643</v>
      </c>
      <c r="R665" s="3" t="s">
        <v>1346</v>
      </c>
      <c r="S665" s="4">
        <v>1</v>
      </c>
      <c r="T665" s="4">
        <v>1</v>
      </c>
      <c r="U665" s="5" t="s">
        <v>4092</v>
      </c>
      <c r="V665" s="5" t="s">
        <v>4092</v>
      </c>
      <c r="W665" s="5" t="s">
        <v>4092</v>
      </c>
      <c r="X665" s="5" t="s">
        <v>4092</v>
      </c>
      <c r="Y665" s="4">
        <v>71</v>
      </c>
      <c r="Z665" s="4">
        <v>69</v>
      </c>
      <c r="AA665" s="4">
        <v>73</v>
      </c>
      <c r="AB665" s="4">
        <v>1</v>
      </c>
      <c r="AC665" s="4">
        <v>1</v>
      </c>
      <c r="AD665" s="4">
        <v>4</v>
      </c>
      <c r="AE665" s="4">
        <v>4</v>
      </c>
      <c r="AF665" s="4">
        <v>2</v>
      </c>
      <c r="AG665" s="4">
        <v>2</v>
      </c>
      <c r="AH665" s="4">
        <v>2</v>
      </c>
      <c r="AI665" s="4">
        <v>2</v>
      </c>
      <c r="AJ665" s="4">
        <v>1</v>
      </c>
      <c r="AK665" s="4">
        <v>1</v>
      </c>
      <c r="AL665" s="4">
        <v>0</v>
      </c>
      <c r="AM665" s="4">
        <v>0</v>
      </c>
      <c r="AN665" s="4">
        <v>0</v>
      </c>
      <c r="AO665" s="4">
        <v>0</v>
      </c>
      <c r="AP665" s="3" t="s">
        <v>58</v>
      </c>
      <c r="AQ665" s="3" t="s">
        <v>58</v>
      </c>
      <c r="AS665" s="6" t="str">
        <f>HYPERLINK("https://creighton-primo.hosted.exlibrisgroup.com/primo-explore/search?tab=default_tab&amp;search_scope=EVERYTHING&amp;vid=01CRU&amp;lang=en_US&amp;offset=0&amp;query=any,contains,991000943739702656","Catalog Record")</f>
        <v>Catalog Record</v>
      </c>
      <c r="AT665" s="6" t="str">
        <f>HYPERLINK("http://www.worldcat.org/oclc/23961660","WorldCat Record")</f>
        <v>WorldCat Record</v>
      </c>
    </row>
    <row r="666" spans="1:46" ht="40.5" customHeight="1" x14ac:dyDescent="0.25">
      <c r="A666" s="8" t="s">
        <v>58</v>
      </c>
      <c r="B666" s="2" t="s">
        <v>4688</v>
      </c>
      <c r="C666" s="2" t="s">
        <v>4689</v>
      </c>
      <c r="D666" s="2" t="s">
        <v>4690</v>
      </c>
      <c r="F666" s="3" t="s">
        <v>58</v>
      </c>
      <c r="G666" s="3" t="s">
        <v>59</v>
      </c>
      <c r="H666" s="3" t="s">
        <v>58</v>
      </c>
      <c r="I666" s="3" t="s">
        <v>58</v>
      </c>
      <c r="J666" s="3" t="s">
        <v>60</v>
      </c>
      <c r="L666" s="2" t="s">
        <v>4691</v>
      </c>
      <c r="M666" s="3" t="s">
        <v>220</v>
      </c>
      <c r="N666" s="2" t="s">
        <v>174</v>
      </c>
      <c r="O666" s="3" t="s">
        <v>64</v>
      </c>
      <c r="P666" s="3" t="s">
        <v>291</v>
      </c>
      <c r="R666" s="3" t="s">
        <v>1346</v>
      </c>
      <c r="S666" s="4">
        <v>0</v>
      </c>
      <c r="T666" s="4">
        <v>0</v>
      </c>
      <c r="U666" s="5" t="s">
        <v>3099</v>
      </c>
      <c r="V666" s="5" t="s">
        <v>3099</v>
      </c>
      <c r="W666" s="5" t="s">
        <v>4622</v>
      </c>
      <c r="X666" s="5" t="s">
        <v>4622</v>
      </c>
      <c r="Y666" s="4">
        <v>29</v>
      </c>
      <c r="Z666" s="4">
        <v>17</v>
      </c>
      <c r="AA666" s="4">
        <v>215</v>
      </c>
      <c r="AB666" s="4">
        <v>1</v>
      </c>
      <c r="AC666" s="4">
        <v>2</v>
      </c>
      <c r="AD666" s="4">
        <v>0</v>
      </c>
      <c r="AE666" s="4">
        <v>3</v>
      </c>
      <c r="AF666" s="4">
        <v>0</v>
      </c>
      <c r="AG666" s="4">
        <v>1</v>
      </c>
      <c r="AH666" s="4">
        <v>0</v>
      </c>
      <c r="AI666" s="4">
        <v>2</v>
      </c>
      <c r="AJ666" s="4">
        <v>0</v>
      </c>
      <c r="AK666" s="4">
        <v>1</v>
      </c>
      <c r="AL666" s="4">
        <v>0</v>
      </c>
      <c r="AM666" s="4">
        <v>0</v>
      </c>
      <c r="AN666" s="4">
        <v>0</v>
      </c>
      <c r="AO666" s="4">
        <v>0</v>
      </c>
      <c r="AP666" s="3" t="s">
        <v>58</v>
      </c>
      <c r="AQ666" s="3" t="s">
        <v>115</v>
      </c>
      <c r="AR666" s="6" t="str">
        <f>HYPERLINK("http://catalog.hathitrust.org/Record/009863575","HathiTrust Record")</f>
        <v>HathiTrust Record</v>
      </c>
      <c r="AS666" s="6" t="str">
        <f>HYPERLINK("https://creighton-primo.hosted.exlibrisgroup.com/primo-explore/search?tab=default_tab&amp;search_scope=EVERYTHING&amp;vid=01CRU&amp;lang=en_US&amp;offset=0&amp;query=any,contains,991000990659702656","Catalog Record")</f>
        <v>Catalog Record</v>
      </c>
      <c r="AT666" s="6" t="str">
        <f>HYPERLINK("http://www.worldcat.org/oclc/17540175","WorldCat Record")</f>
        <v>WorldCat Record</v>
      </c>
    </row>
    <row r="667" spans="1:46" ht="40.5" customHeight="1" x14ac:dyDescent="0.25">
      <c r="A667" s="8" t="s">
        <v>58</v>
      </c>
      <c r="B667" s="2" t="s">
        <v>4688</v>
      </c>
      <c r="C667" s="2" t="s">
        <v>4689</v>
      </c>
      <c r="D667" s="2" t="s">
        <v>4692</v>
      </c>
      <c r="F667" s="3" t="s">
        <v>58</v>
      </c>
      <c r="G667" s="3" t="s">
        <v>59</v>
      </c>
      <c r="H667" s="3" t="s">
        <v>58</v>
      </c>
      <c r="I667" s="3" t="s">
        <v>115</v>
      </c>
      <c r="J667" s="3" t="s">
        <v>60</v>
      </c>
      <c r="K667" s="2" t="s">
        <v>4693</v>
      </c>
      <c r="L667" s="2" t="s">
        <v>4694</v>
      </c>
      <c r="M667" s="3" t="s">
        <v>81</v>
      </c>
      <c r="N667" s="2" t="s">
        <v>221</v>
      </c>
      <c r="O667" s="3" t="s">
        <v>64</v>
      </c>
      <c r="P667" s="3" t="s">
        <v>291</v>
      </c>
      <c r="R667" s="3" t="s">
        <v>1346</v>
      </c>
      <c r="S667" s="4">
        <v>1</v>
      </c>
      <c r="T667" s="4">
        <v>1</v>
      </c>
      <c r="U667" s="5" t="s">
        <v>3099</v>
      </c>
      <c r="V667" s="5" t="s">
        <v>3099</v>
      </c>
      <c r="W667" s="5" t="s">
        <v>2512</v>
      </c>
      <c r="X667" s="5" t="s">
        <v>2512</v>
      </c>
      <c r="Y667" s="4">
        <v>128</v>
      </c>
      <c r="Z667" s="4">
        <v>96</v>
      </c>
      <c r="AA667" s="4">
        <v>185</v>
      </c>
      <c r="AB667" s="4">
        <v>1</v>
      </c>
      <c r="AC667" s="4">
        <v>1</v>
      </c>
      <c r="AD667" s="4">
        <v>1</v>
      </c>
      <c r="AE667" s="4">
        <v>3</v>
      </c>
      <c r="AF667" s="4">
        <v>1</v>
      </c>
      <c r="AG667" s="4">
        <v>1</v>
      </c>
      <c r="AH667" s="4">
        <v>0</v>
      </c>
      <c r="AI667" s="4">
        <v>1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1</v>
      </c>
      <c r="AP667" s="3" t="s">
        <v>58</v>
      </c>
      <c r="AQ667" s="3" t="s">
        <v>58</v>
      </c>
      <c r="AS667" s="6" t="str">
        <f>HYPERLINK("https://creighton-primo.hosted.exlibrisgroup.com/primo-explore/search?tab=default_tab&amp;search_scope=EVERYTHING&amp;vid=01CRU&amp;lang=en_US&amp;offset=0&amp;query=any,contains,991001432409702656","Catalog Record")</f>
        <v>Catalog Record</v>
      </c>
      <c r="AT667" s="6" t="str">
        <f>HYPERLINK("http://www.worldcat.org/oclc/16481943","WorldCat Record")</f>
        <v>WorldCat Record</v>
      </c>
    </row>
    <row r="668" spans="1:46" ht="40.5" customHeight="1" x14ac:dyDescent="0.25">
      <c r="A668" s="8" t="s">
        <v>58</v>
      </c>
      <c r="B668" s="2" t="s">
        <v>4688</v>
      </c>
      <c r="C668" s="2" t="s">
        <v>4689</v>
      </c>
      <c r="D668" s="2" t="s">
        <v>4692</v>
      </c>
      <c r="F668" s="3" t="s">
        <v>58</v>
      </c>
      <c r="G668" s="3" t="s">
        <v>59</v>
      </c>
      <c r="H668" s="3" t="s">
        <v>58</v>
      </c>
      <c r="I668" s="3" t="s">
        <v>115</v>
      </c>
      <c r="J668" s="3" t="s">
        <v>60</v>
      </c>
      <c r="K668" s="2" t="s">
        <v>4693</v>
      </c>
      <c r="L668" s="2" t="s">
        <v>4695</v>
      </c>
      <c r="M668" s="3" t="s">
        <v>321</v>
      </c>
      <c r="N668" s="2" t="s">
        <v>936</v>
      </c>
      <c r="O668" s="3" t="s">
        <v>64</v>
      </c>
      <c r="P668" s="3" t="s">
        <v>190</v>
      </c>
      <c r="R668" s="3" t="s">
        <v>1346</v>
      </c>
      <c r="S668" s="4">
        <v>1</v>
      </c>
      <c r="T668" s="4">
        <v>1</v>
      </c>
      <c r="U668" s="5" t="s">
        <v>3099</v>
      </c>
      <c r="V668" s="5" t="s">
        <v>3099</v>
      </c>
      <c r="W668" s="5" t="s">
        <v>4696</v>
      </c>
      <c r="X668" s="5" t="s">
        <v>4696</v>
      </c>
      <c r="Y668" s="4">
        <v>140</v>
      </c>
      <c r="Z668" s="4">
        <v>111</v>
      </c>
      <c r="AA668" s="4">
        <v>185</v>
      </c>
      <c r="AB668" s="4">
        <v>1</v>
      </c>
      <c r="AC668" s="4">
        <v>1</v>
      </c>
      <c r="AD668" s="4">
        <v>2</v>
      </c>
      <c r="AE668" s="4">
        <v>3</v>
      </c>
      <c r="AF668" s="4">
        <v>0</v>
      </c>
      <c r="AG668" s="4">
        <v>1</v>
      </c>
      <c r="AH668" s="4">
        <v>1</v>
      </c>
      <c r="AI668" s="4">
        <v>1</v>
      </c>
      <c r="AJ668" s="4">
        <v>0</v>
      </c>
      <c r="AK668" s="4">
        <v>0</v>
      </c>
      <c r="AL668" s="4">
        <v>0</v>
      </c>
      <c r="AM668" s="4">
        <v>0</v>
      </c>
      <c r="AN668" s="4">
        <v>1</v>
      </c>
      <c r="AO668" s="4">
        <v>1</v>
      </c>
      <c r="AP668" s="3" t="s">
        <v>58</v>
      </c>
      <c r="AQ668" s="3" t="s">
        <v>58</v>
      </c>
      <c r="AS668" s="6" t="str">
        <f>HYPERLINK("https://creighton-primo.hosted.exlibrisgroup.com/primo-explore/search?tab=default_tab&amp;search_scope=EVERYTHING&amp;vid=01CRU&amp;lang=en_US&amp;offset=0&amp;query=any,contains,991000990859702656","Catalog Record")</f>
        <v>Catalog Record</v>
      </c>
      <c r="AT668" s="6" t="str">
        <f>HYPERLINK("http://www.worldcat.org/oclc/2926123","WorldCat Record")</f>
        <v>WorldCat Record</v>
      </c>
    </row>
    <row r="669" spans="1:46" ht="40.5" customHeight="1" x14ac:dyDescent="0.25">
      <c r="A669" s="8" t="s">
        <v>58</v>
      </c>
      <c r="B669" s="2" t="s">
        <v>4697</v>
      </c>
      <c r="C669" s="2" t="s">
        <v>4698</v>
      </c>
      <c r="D669" s="2" t="s">
        <v>4699</v>
      </c>
      <c r="F669" s="3" t="s">
        <v>58</v>
      </c>
      <c r="G669" s="3" t="s">
        <v>59</v>
      </c>
      <c r="H669" s="3" t="s">
        <v>58</v>
      </c>
      <c r="I669" s="3" t="s">
        <v>58</v>
      </c>
      <c r="J669" s="3" t="s">
        <v>60</v>
      </c>
      <c r="K669" s="2" t="s">
        <v>4700</v>
      </c>
      <c r="L669" s="2" t="s">
        <v>4701</v>
      </c>
      <c r="M669" s="3" t="s">
        <v>515</v>
      </c>
      <c r="N669" s="2" t="s">
        <v>4702</v>
      </c>
      <c r="O669" s="3" t="s">
        <v>64</v>
      </c>
      <c r="P669" s="3" t="s">
        <v>291</v>
      </c>
      <c r="R669" s="3" t="s">
        <v>1346</v>
      </c>
      <c r="S669" s="4">
        <v>14</v>
      </c>
      <c r="T669" s="4">
        <v>14</v>
      </c>
      <c r="U669" s="5" t="s">
        <v>3099</v>
      </c>
      <c r="V669" s="5" t="s">
        <v>3099</v>
      </c>
      <c r="W669" s="5" t="s">
        <v>4195</v>
      </c>
      <c r="X669" s="5" t="s">
        <v>4195</v>
      </c>
      <c r="Y669" s="4">
        <v>148</v>
      </c>
      <c r="Z669" s="4">
        <v>121</v>
      </c>
      <c r="AA669" s="4">
        <v>153</v>
      </c>
      <c r="AB669" s="4">
        <v>1</v>
      </c>
      <c r="AC669" s="4">
        <v>1</v>
      </c>
      <c r="AD669" s="4">
        <v>2</v>
      </c>
      <c r="AE669" s="4">
        <v>2</v>
      </c>
      <c r="AF669" s="4">
        <v>0</v>
      </c>
      <c r="AG669" s="4">
        <v>0</v>
      </c>
      <c r="AH669" s="4">
        <v>1</v>
      </c>
      <c r="AI669" s="4">
        <v>1</v>
      </c>
      <c r="AJ669" s="4">
        <v>0</v>
      </c>
      <c r="AK669" s="4">
        <v>0</v>
      </c>
      <c r="AL669" s="4">
        <v>0</v>
      </c>
      <c r="AM669" s="4">
        <v>0</v>
      </c>
      <c r="AN669" s="4">
        <v>1</v>
      </c>
      <c r="AO669" s="4">
        <v>1</v>
      </c>
      <c r="AP669" s="3" t="s">
        <v>58</v>
      </c>
      <c r="AQ669" s="3" t="s">
        <v>58</v>
      </c>
      <c r="AS669" s="6" t="str">
        <f>HYPERLINK("https://creighton-primo.hosted.exlibrisgroup.com/primo-explore/search?tab=default_tab&amp;search_scope=EVERYTHING&amp;vid=01CRU&amp;lang=en_US&amp;offset=0&amp;query=any,contains,991001282119702656","Catalog Record")</f>
        <v>Catalog Record</v>
      </c>
      <c r="AT669" s="6" t="str">
        <f>HYPERLINK("http://www.worldcat.org/oclc/14280121","WorldCat Record")</f>
        <v>WorldCat Record</v>
      </c>
    </row>
    <row r="670" spans="1:46" ht="40.5" customHeight="1" x14ac:dyDescent="0.25">
      <c r="A670" s="8" t="s">
        <v>58</v>
      </c>
      <c r="B670" s="2" t="s">
        <v>4703</v>
      </c>
      <c r="C670" s="2" t="s">
        <v>4704</v>
      </c>
      <c r="D670" s="2" t="s">
        <v>4705</v>
      </c>
      <c r="F670" s="3" t="s">
        <v>58</v>
      </c>
      <c r="G670" s="3" t="s">
        <v>59</v>
      </c>
      <c r="H670" s="3" t="s">
        <v>58</v>
      </c>
      <c r="I670" s="3" t="s">
        <v>58</v>
      </c>
      <c r="J670" s="3" t="s">
        <v>60</v>
      </c>
      <c r="L670" s="2" t="s">
        <v>4706</v>
      </c>
      <c r="M670" s="3" t="s">
        <v>1177</v>
      </c>
      <c r="O670" s="3" t="s">
        <v>64</v>
      </c>
      <c r="P670" s="3" t="s">
        <v>643</v>
      </c>
      <c r="R670" s="3" t="s">
        <v>1346</v>
      </c>
      <c r="S670" s="4">
        <v>19</v>
      </c>
      <c r="T670" s="4">
        <v>19</v>
      </c>
      <c r="U670" s="5" t="s">
        <v>4707</v>
      </c>
      <c r="V670" s="5" t="s">
        <v>4707</v>
      </c>
      <c r="W670" s="5" t="s">
        <v>4708</v>
      </c>
      <c r="X670" s="5" t="s">
        <v>4708</v>
      </c>
      <c r="Y670" s="4">
        <v>42</v>
      </c>
      <c r="Z670" s="4">
        <v>40</v>
      </c>
      <c r="AA670" s="4">
        <v>40</v>
      </c>
      <c r="AB670" s="4">
        <v>1</v>
      </c>
      <c r="AC670" s="4">
        <v>1</v>
      </c>
      <c r="AD670" s="4">
        <v>1</v>
      </c>
      <c r="AE670" s="4">
        <v>1</v>
      </c>
      <c r="AF670" s="4">
        <v>0</v>
      </c>
      <c r="AG670" s="4">
        <v>0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1</v>
      </c>
      <c r="AO670" s="4">
        <v>1</v>
      </c>
      <c r="AP670" s="3" t="s">
        <v>58</v>
      </c>
      <c r="AQ670" s="3" t="s">
        <v>58</v>
      </c>
      <c r="AS670" s="6" t="str">
        <f>HYPERLINK("https://creighton-primo.hosted.exlibrisgroup.com/primo-explore/search?tab=default_tab&amp;search_scope=EVERYTHING&amp;vid=01CRU&amp;lang=en_US&amp;offset=0&amp;query=any,contains,991000748309702656","Catalog Record")</f>
        <v>Catalog Record</v>
      </c>
      <c r="AT670" s="6" t="str">
        <f>HYPERLINK("http://www.worldcat.org/oclc/15341455","WorldCat Record")</f>
        <v>WorldCat Record</v>
      </c>
    </row>
    <row r="671" spans="1:46" ht="40.5" customHeight="1" x14ac:dyDescent="0.25">
      <c r="A671" s="8" t="s">
        <v>58</v>
      </c>
      <c r="B671" s="2" t="s">
        <v>4709</v>
      </c>
      <c r="C671" s="2" t="s">
        <v>4710</v>
      </c>
      <c r="D671" s="2" t="s">
        <v>4711</v>
      </c>
      <c r="F671" s="3" t="s">
        <v>58</v>
      </c>
      <c r="G671" s="3" t="s">
        <v>59</v>
      </c>
      <c r="H671" s="3" t="s">
        <v>58</v>
      </c>
      <c r="I671" s="3" t="s">
        <v>58</v>
      </c>
      <c r="J671" s="3" t="s">
        <v>60</v>
      </c>
      <c r="K671" s="2" t="s">
        <v>4712</v>
      </c>
      <c r="L671" s="2" t="s">
        <v>4713</v>
      </c>
      <c r="M671" s="3" t="s">
        <v>3314</v>
      </c>
      <c r="O671" s="3" t="s">
        <v>64</v>
      </c>
      <c r="P671" s="3" t="s">
        <v>265</v>
      </c>
      <c r="R671" s="3" t="s">
        <v>1346</v>
      </c>
      <c r="S671" s="4">
        <v>2</v>
      </c>
      <c r="T671" s="4">
        <v>2</v>
      </c>
      <c r="U671" s="5" t="s">
        <v>4714</v>
      </c>
      <c r="V671" s="5" t="s">
        <v>4714</v>
      </c>
      <c r="W671" s="5" t="s">
        <v>4715</v>
      </c>
      <c r="X671" s="5" t="s">
        <v>4715</v>
      </c>
      <c r="Y671" s="4">
        <v>7</v>
      </c>
      <c r="Z671" s="4">
        <v>3</v>
      </c>
      <c r="AA671" s="4">
        <v>18</v>
      </c>
      <c r="AB671" s="4">
        <v>1</v>
      </c>
      <c r="AC671" s="4">
        <v>1</v>
      </c>
      <c r="AD671" s="4">
        <v>0</v>
      </c>
      <c r="AE671" s="4">
        <v>0</v>
      </c>
      <c r="AF671" s="4">
        <v>0</v>
      </c>
      <c r="AG671" s="4">
        <v>0</v>
      </c>
      <c r="AH671" s="4">
        <v>0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0</v>
      </c>
      <c r="AP671" s="3" t="s">
        <v>58</v>
      </c>
      <c r="AQ671" s="3" t="s">
        <v>58</v>
      </c>
      <c r="AS671" s="6" t="str">
        <f>HYPERLINK("https://creighton-primo.hosted.exlibrisgroup.com/primo-explore/search?tab=default_tab&amp;search_scope=EVERYTHING&amp;vid=01CRU&amp;lang=en_US&amp;offset=0&amp;query=any,contains,991001011139702656","Catalog Record")</f>
        <v>Catalog Record</v>
      </c>
      <c r="AT671" s="6" t="str">
        <f>HYPERLINK("http://www.worldcat.org/oclc/20699646","WorldCat Record")</f>
        <v>WorldCat Record</v>
      </c>
    </row>
    <row r="672" spans="1:46" ht="40.5" customHeight="1" x14ac:dyDescent="0.25">
      <c r="A672" s="8" t="s">
        <v>58</v>
      </c>
      <c r="B672" s="2" t="s">
        <v>4716</v>
      </c>
      <c r="C672" s="2" t="s">
        <v>4717</v>
      </c>
      <c r="D672" s="2" t="s">
        <v>4718</v>
      </c>
      <c r="F672" s="3" t="s">
        <v>58</v>
      </c>
      <c r="G672" s="3" t="s">
        <v>59</v>
      </c>
      <c r="H672" s="3" t="s">
        <v>58</v>
      </c>
      <c r="I672" s="3" t="s">
        <v>58</v>
      </c>
      <c r="J672" s="3" t="s">
        <v>60</v>
      </c>
      <c r="K672" s="2" t="s">
        <v>4719</v>
      </c>
      <c r="L672" s="2" t="s">
        <v>4720</v>
      </c>
      <c r="M672" s="3" t="s">
        <v>4501</v>
      </c>
      <c r="O672" s="3" t="s">
        <v>64</v>
      </c>
      <c r="P672" s="3" t="s">
        <v>65</v>
      </c>
      <c r="R672" s="3" t="s">
        <v>1346</v>
      </c>
      <c r="S672" s="4">
        <v>1</v>
      </c>
      <c r="T672" s="4">
        <v>1</v>
      </c>
      <c r="U672" s="5" t="s">
        <v>1347</v>
      </c>
      <c r="V672" s="5" t="s">
        <v>1347</v>
      </c>
      <c r="W672" s="5" t="s">
        <v>2335</v>
      </c>
      <c r="X672" s="5" t="s">
        <v>2335</v>
      </c>
      <c r="Y672" s="4">
        <v>95</v>
      </c>
      <c r="Z672" s="4">
        <v>79</v>
      </c>
      <c r="AA672" s="4">
        <v>86</v>
      </c>
      <c r="AB672" s="4">
        <v>1</v>
      </c>
      <c r="AC672" s="4">
        <v>1</v>
      </c>
      <c r="AD672" s="4">
        <v>1</v>
      </c>
      <c r="AE672" s="4">
        <v>1</v>
      </c>
      <c r="AF672" s="4">
        <v>1</v>
      </c>
      <c r="AG672" s="4">
        <v>1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0</v>
      </c>
      <c r="AP672" s="3" t="s">
        <v>115</v>
      </c>
      <c r="AQ672" s="3" t="s">
        <v>58</v>
      </c>
      <c r="AR672" s="6" t="str">
        <f>HYPERLINK("http://catalog.hathitrust.org/Record/001573730","HathiTrust Record")</f>
        <v>HathiTrust Record</v>
      </c>
      <c r="AS672" s="6" t="str">
        <f>HYPERLINK("https://creighton-primo.hosted.exlibrisgroup.com/primo-explore/search?tab=default_tab&amp;search_scope=EVERYTHING&amp;vid=01CRU&amp;lang=en_US&amp;offset=0&amp;query=any,contains,991000991299702656","Catalog Record")</f>
        <v>Catalog Record</v>
      </c>
      <c r="AT672" s="6" t="str">
        <f>HYPERLINK("http://www.worldcat.org/oclc/829570","WorldCat Record")</f>
        <v>WorldCat Record</v>
      </c>
    </row>
    <row r="673" spans="1:46" ht="40.5" customHeight="1" x14ac:dyDescent="0.25">
      <c r="A673" s="8" t="s">
        <v>58</v>
      </c>
      <c r="B673" s="2" t="s">
        <v>4721</v>
      </c>
      <c r="C673" s="2" t="s">
        <v>4722</v>
      </c>
      <c r="D673" s="2" t="s">
        <v>4723</v>
      </c>
      <c r="F673" s="3" t="s">
        <v>58</v>
      </c>
      <c r="G673" s="3" t="s">
        <v>59</v>
      </c>
      <c r="H673" s="3" t="s">
        <v>58</v>
      </c>
      <c r="I673" s="3" t="s">
        <v>58</v>
      </c>
      <c r="J673" s="3" t="s">
        <v>60</v>
      </c>
      <c r="K673" s="2" t="s">
        <v>4724</v>
      </c>
      <c r="L673" s="2" t="s">
        <v>4725</v>
      </c>
      <c r="M673" s="3" t="s">
        <v>1122</v>
      </c>
      <c r="N673" s="2" t="s">
        <v>4726</v>
      </c>
      <c r="O673" s="3" t="s">
        <v>64</v>
      </c>
      <c r="P673" s="3" t="s">
        <v>1932</v>
      </c>
      <c r="R673" s="3" t="s">
        <v>1346</v>
      </c>
      <c r="S673" s="4">
        <v>3</v>
      </c>
      <c r="T673" s="4">
        <v>3</v>
      </c>
      <c r="U673" s="5" t="s">
        <v>3676</v>
      </c>
      <c r="V673" s="5" t="s">
        <v>3676</v>
      </c>
      <c r="W673" s="5" t="s">
        <v>4727</v>
      </c>
      <c r="X673" s="5" t="s">
        <v>4727</v>
      </c>
      <c r="Y673" s="4">
        <v>1</v>
      </c>
      <c r="Z673" s="4">
        <v>1</v>
      </c>
      <c r="AA673" s="4">
        <v>1</v>
      </c>
      <c r="AB673" s="4">
        <v>1</v>
      </c>
      <c r="AC673" s="4">
        <v>1</v>
      </c>
      <c r="AD673" s="4">
        <v>0</v>
      </c>
      <c r="AE673" s="4">
        <v>0</v>
      </c>
      <c r="AF673" s="4">
        <v>0</v>
      </c>
      <c r="AG673" s="4">
        <v>0</v>
      </c>
      <c r="AH673" s="4">
        <v>0</v>
      </c>
      <c r="AI673" s="4">
        <v>0</v>
      </c>
      <c r="AJ673" s="4">
        <v>0</v>
      </c>
      <c r="AK673" s="4">
        <v>0</v>
      </c>
      <c r="AL673" s="4">
        <v>0</v>
      </c>
      <c r="AM673" s="4">
        <v>0</v>
      </c>
      <c r="AN673" s="4">
        <v>0</v>
      </c>
      <c r="AO673" s="4">
        <v>0</v>
      </c>
      <c r="AP673" s="3" t="s">
        <v>58</v>
      </c>
      <c r="AQ673" s="3" t="s">
        <v>58</v>
      </c>
      <c r="AS673" s="6" t="str">
        <f>HYPERLINK("https://creighton-primo.hosted.exlibrisgroup.com/primo-explore/search?tab=default_tab&amp;search_scope=EVERYTHING&amp;vid=01CRU&amp;lang=en_US&amp;offset=0&amp;query=any,contains,991000769819702656","Catalog Record")</f>
        <v>Catalog Record</v>
      </c>
      <c r="AT673" s="6" t="str">
        <f>HYPERLINK("http://www.worldcat.org/oclc/23753338","WorldCat Record")</f>
        <v>WorldCat Record</v>
      </c>
    </row>
    <row r="674" spans="1:46" ht="40.5" customHeight="1" x14ac:dyDescent="0.25">
      <c r="A674" s="8" t="s">
        <v>58</v>
      </c>
      <c r="B674" s="2" t="s">
        <v>4728</v>
      </c>
      <c r="C674" s="2" t="s">
        <v>4729</v>
      </c>
      <c r="D674" s="2" t="s">
        <v>4730</v>
      </c>
      <c r="F674" s="3" t="s">
        <v>58</v>
      </c>
      <c r="G674" s="3" t="s">
        <v>59</v>
      </c>
      <c r="H674" s="3" t="s">
        <v>58</v>
      </c>
      <c r="I674" s="3" t="s">
        <v>58</v>
      </c>
      <c r="J674" s="3" t="s">
        <v>60</v>
      </c>
      <c r="K674" s="2" t="s">
        <v>4724</v>
      </c>
      <c r="L674" s="2" t="s">
        <v>4731</v>
      </c>
      <c r="M674" s="3" t="s">
        <v>142</v>
      </c>
      <c r="N674" s="2" t="s">
        <v>4732</v>
      </c>
      <c r="O674" s="3" t="s">
        <v>64</v>
      </c>
      <c r="P674" s="3" t="s">
        <v>1932</v>
      </c>
      <c r="R674" s="3" t="s">
        <v>1346</v>
      </c>
      <c r="S674" s="4">
        <v>4</v>
      </c>
      <c r="T674" s="4">
        <v>4</v>
      </c>
      <c r="U674" s="5" t="s">
        <v>4733</v>
      </c>
      <c r="V674" s="5" t="s">
        <v>4733</v>
      </c>
      <c r="W674" s="5" t="s">
        <v>4733</v>
      </c>
      <c r="X674" s="5" t="s">
        <v>4733</v>
      </c>
      <c r="Y674" s="4">
        <v>1</v>
      </c>
      <c r="Z674" s="4">
        <v>1</v>
      </c>
      <c r="AA674" s="4">
        <v>1</v>
      </c>
      <c r="AB674" s="4">
        <v>1</v>
      </c>
      <c r="AC674" s="4">
        <v>1</v>
      </c>
      <c r="AD674" s="4">
        <v>0</v>
      </c>
      <c r="AE674" s="4">
        <v>0</v>
      </c>
      <c r="AF674" s="4">
        <v>0</v>
      </c>
      <c r="AG674" s="4">
        <v>0</v>
      </c>
      <c r="AH674" s="4"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0</v>
      </c>
      <c r="AP674" s="3" t="s">
        <v>58</v>
      </c>
      <c r="AQ674" s="3" t="s">
        <v>58</v>
      </c>
      <c r="AS674" s="6" t="str">
        <f>HYPERLINK("https://creighton-primo.hosted.exlibrisgroup.com/primo-explore/search?tab=default_tab&amp;search_scope=EVERYTHING&amp;vid=01CRU&amp;lang=en_US&amp;offset=0&amp;query=any,contains,991000945619702656","Catalog Record")</f>
        <v>Catalog Record</v>
      </c>
      <c r="AT674" s="6" t="str">
        <f>HYPERLINK("http://www.worldcat.org/oclc/24944417","WorldCat Record")</f>
        <v>WorldCat Record</v>
      </c>
    </row>
    <row r="675" spans="1:46" ht="40.5" customHeight="1" x14ac:dyDescent="0.25">
      <c r="A675" s="8" t="s">
        <v>58</v>
      </c>
      <c r="B675" s="2" t="s">
        <v>4734</v>
      </c>
      <c r="C675" s="2" t="s">
        <v>4735</v>
      </c>
      <c r="D675" s="2" t="s">
        <v>4736</v>
      </c>
      <c r="F675" s="3" t="s">
        <v>58</v>
      </c>
      <c r="G675" s="3" t="s">
        <v>59</v>
      </c>
      <c r="H675" s="3" t="s">
        <v>58</v>
      </c>
      <c r="I675" s="3" t="s">
        <v>58</v>
      </c>
      <c r="J675" s="3" t="s">
        <v>60</v>
      </c>
      <c r="L675" s="2" t="s">
        <v>4737</v>
      </c>
      <c r="M675" s="3" t="s">
        <v>424</v>
      </c>
      <c r="N675" s="2" t="s">
        <v>2563</v>
      </c>
      <c r="O675" s="3" t="s">
        <v>64</v>
      </c>
      <c r="P675" s="3" t="s">
        <v>112</v>
      </c>
      <c r="R675" s="3" t="s">
        <v>1346</v>
      </c>
      <c r="S675" s="4">
        <v>6</v>
      </c>
      <c r="T675" s="4">
        <v>6</v>
      </c>
      <c r="U675" s="5" t="s">
        <v>4738</v>
      </c>
      <c r="V675" s="5" t="s">
        <v>4738</v>
      </c>
      <c r="W675" s="5" t="s">
        <v>4738</v>
      </c>
      <c r="X675" s="5" t="s">
        <v>4738</v>
      </c>
      <c r="Y675" s="4">
        <v>34</v>
      </c>
      <c r="Z675" s="4">
        <v>12</v>
      </c>
      <c r="AA675" s="4">
        <v>40</v>
      </c>
      <c r="AB675" s="4">
        <v>1</v>
      </c>
      <c r="AC675" s="4">
        <v>1</v>
      </c>
      <c r="AD675" s="4">
        <v>0</v>
      </c>
      <c r="AE675" s="4">
        <v>1</v>
      </c>
      <c r="AF675" s="4">
        <v>0</v>
      </c>
      <c r="AG675" s="4">
        <v>1</v>
      </c>
      <c r="AH675" s="4">
        <v>0</v>
      </c>
      <c r="AI675" s="4">
        <v>1</v>
      </c>
      <c r="AJ675" s="4">
        <v>0</v>
      </c>
      <c r="AK675" s="4">
        <v>0</v>
      </c>
      <c r="AL675" s="4">
        <v>0</v>
      </c>
      <c r="AM675" s="4">
        <v>0</v>
      </c>
      <c r="AN675" s="4">
        <v>0</v>
      </c>
      <c r="AO675" s="4">
        <v>0</v>
      </c>
      <c r="AP675" s="3" t="s">
        <v>58</v>
      </c>
      <c r="AQ675" s="3" t="s">
        <v>58</v>
      </c>
      <c r="AS675" s="6" t="str">
        <f>HYPERLINK("https://creighton-primo.hosted.exlibrisgroup.com/primo-explore/search?tab=default_tab&amp;search_scope=EVERYTHING&amp;vid=01CRU&amp;lang=en_US&amp;offset=0&amp;query=any,contains,991000671089702656","Catalog Record")</f>
        <v>Catalog Record</v>
      </c>
      <c r="AT675" s="6" t="str">
        <f>HYPERLINK("http://www.worldcat.org/oclc/30547377","WorldCat Record")</f>
        <v>WorldCat Record</v>
      </c>
    </row>
    <row r="676" spans="1:46" ht="40.5" customHeight="1" x14ac:dyDescent="0.25">
      <c r="A676" s="8" t="s">
        <v>58</v>
      </c>
      <c r="B676" s="2" t="s">
        <v>4739</v>
      </c>
      <c r="C676" s="2" t="s">
        <v>4740</v>
      </c>
      <c r="D676" s="2" t="s">
        <v>4741</v>
      </c>
      <c r="F676" s="3" t="s">
        <v>58</v>
      </c>
      <c r="G676" s="3" t="s">
        <v>59</v>
      </c>
      <c r="H676" s="3" t="s">
        <v>58</v>
      </c>
      <c r="I676" s="3" t="s">
        <v>58</v>
      </c>
      <c r="J676" s="3" t="s">
        <v>60</v>
      </c>
      <c r="L676" s="2" t="s">
        <v>4742</v>
      </c>
      <c r="M676" s="3" t="s">
        <v>572</v>
      </c>
      <c r="O676" s="3" t="s">
        <v>64</v>
      </c>
      <c r="P676" s="3" t="s">
        <v>190</v>
      </c>
      <c r="R676" s="3" t="s">
        <v>1346</v>
      </c>
      <c r="S676" s="4">
        <v>1</v>
      </c>
      <c r="T676" s="4">
        <v>1</v>
      </c>
      <c r="U676" s="5" t="s">
        <v>4743</v>
      </c>
      <c r="V676" s="5" t="s">
        <v>4743</v>
      </c>
      <c r="W676" s="5" t="s">
        <v>4744</v>
      </c>
      <c r="X676" s="5" t="s">
        <v>4744</v>
      </c>
      <c r="Y676" s="4">
        <v>24</v>
      </c>
      <c r="Z676" s="4">
        <v>16</v>
      </c>
      <c r="AA676" s="4">
        <v>22</v>
      </c>
      <c r="AB676" s="4">
        <v>1</v>
      </c>
      <c r="AC676" s="4">
        <v>1</v>
      </c>
      <c r="AD676" s="4">
        <v>1</v>
      </c>
      <c r="AE676" s="4">
        <v>1</v>
      </c>
      <c r="AF676" s="4">
        <v>1</v>
      </c>
      <c r="AG676" s="4">
        <v>1</v>
      </c>
      <c r="AH676" s="4">
        <v>0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0</v>
      </c>
      <c r="AP676" s="3" t="s">
        <v>58</v>
      </c>
      <c r="AQ676" s="3" t="s">
        <v>58</v>
      </c>
      <c r="AS676" s="6" t="str">
        <f>HYPERLINK("https://creighton-primo.hosted.exlibrisgroup.com/primo-explore/search?tab=default_tab&amp;search_scope=EVERYTHING&amp;vid=01CRU&amp;lang=en_US&amp;offset=0&amp;query=any,contains,991000367429702656","Catalog Record")</f>
        <v>Catalog Record</v>
      </c>
      <c r="AT676" s="6" t="str">
        <f>HYPERLINK("http://www.worldcat.org/oclc/53982835","WorldCat Record")</f>
        <v>WorldCat Record</v>
      </c>
    </row>
    <row r="677" spans="1:46" ht="40.5" customHeight="1" x14ac:dyDescent="0.25">
      <c r="A677" s="8" t="s">
        <v>58</v>
      </c>
      <c r="B677" s="2" t="s">
        <v>4745</v>
      </c>
      <c r="C677" s="2" t="s">
        <v>4746</v>
      </c>
      <c r="D677" s="2" t="s">
        <v>4747</v>
      </c>
      <c r="E677" s="3" t="s">
        <v>4683</v>
      </c>
      <c r="F677" s="3" t="s">
        <v>115</v>
      </c>
      <c r="G677" s="3" t="s">
        <v>59</v>
      </c>
      <c r="H677" s="3" t="s">
        <v>58</v>
      </c>
      <c r="I677" s="3" t="s">
        <v>58</v>
      </c>
      <c r="J677" s="3" t="s">
        <v>60</v>
      </c>
      <c r="L677" s="2" t="s">
        <v>4748</v>
      </c>
      <c r="M677" s="3" t="s">
        <v>1122</v>
      </c>
      <c r="N677" s="2" t="s">
        <v>174</v>
      </c>
      <c r="O677" s="3" t="s">
        <v>64</v>
      </c>
      <c r="P677" s="3" t="s">
        <v>112</v>
      </c>
      <c r="R677" s="3" t="s">
        <v>1346</v>
      </c>
      <c r="S677" s="4">
        <v>11</v>
      </c>
      <c r="T677" s="4">
        <v>94</v>
      </c>
      <c r="U677" s="5" t="s">
        <v>4749</v>
      </c>
      <c r="V677" s="5" t="s">
        <v>4750</v>
      </c>
      <c r="W677" s="5" t="s">
        <v>4751</v>
      </c>
      <c r="X677" s="5" t="s">
        <v>4751</v>
      </c>
      <c r="Y677" s="4">
        <v>257</v>
      </c>
      <c r="Z677" s="4">
        <v>193</v>
      </c>
      <c r="AA677" s="4">
        <v>197</v>
      </c>
      <c r="AB677" s="4">
        <v>3</v>
      </c>
      <c r="AC677" s="4">
        <v>3</v>
      </c>
      <c r="AD677" s="4">
        <v>5</v>
      </c>
      <c r="AE677" s="4">
        <v>5</v>
      </c>
      <c r="AF677" s="4">
        <v>1</v>
      </c>
      <c r="AG677" s="4">
        <v>1</v>
      </c>
      <c r="AH677" s="4">
        <v>2</v>
      </c>
      <c r="AI677" s="4">
        <v>2</v>
      </c>
      <c r="AJ677" s="4">
        <v>3</v>
      </c>
      <c r="AK677" s="4">
        <v>3</v>
      </c>
      <c r="AL677" s="4">
        <v>1</v>
      </c>
      <c r="AM677" s="4">
        <v>1</v>
      </c>
      <c r="AN677" s="4">
        <v>0</v>
      </c>
      <c r="AO677" s="4">
        <v>0</v>
      </c>
      <c r="AP677" s="3" t="s">
        <v>58</v>
      </c>
      <c r="AQ677" s="3" t="s">
        <v>115</v>
      </c>
      <c r="AR677" s="6" t="str">
        <f t="shared" ref="AR677:AR682" si="0">HYPERLINK("http://catalog.hathitrust.org/Record/001946683","HathiTrust Record")</f>
        <v>HathiTrust Record</v>
      </c>
      <c r="AS677" s="6" t="str">
        <f t="shared" ref="AS677:AS682" si="1"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T677" s="6" t="str">
        <f t="shared" ref="AT677:AT682" si="2">HYPERLINK("http://www.worldcat.org/oclc/20168118","WorldCat Record")</f>
        <v>WorldCat Record</v>
      </c>
    </row>
    <row r="678" spans="1:46" ht="40.5" customHeight="1" x14ac:dyDescent="0.25">
      <c r="A678" s="8" t="s">
        <v>58</v>
      </c>
      <c r="B678" s="2" t="s">
        <v>4745</v>
      </c>
      <c r="C678" s="2" t="s">
        <v>4746</v>
      </c>
      <c r="D678" s="2" t="s">
        <v>4747</v>
      </c>
      <c r="E678" s="3" t="s">
        <v>2382</v>
      </c>
      <c r="F678" s="3" t="s">
        <v>115</v>
      </c>
      <c r="G678" s="3" t="s">
        <v>59</v>
      </c>
      <c r="H678" s="3" t="s">
        <v>58</v>
      </c>
      <c r="I678" s="3" t="s">
        <v>58</v>
      </c>
      <c r="J678" s="3" t="s">
        <v>60</v>
      </c>
      <c r="L678" s="2" t="s">
        <v>4748</v>
      </c>
      <c r="M678" s="3" t="s">
        <v>1122</v>
      </c>
      <c r="N678" s="2" t="s">
        <v>174</v>
      </c>
      <c r="O678" s="3" t="s">
        <v>64</v>
      </c>
      <c r="P678" s="3" t="s">
        <v>112</v>
      </c>
      <c r="R678" s="3" t="s">
        <v>1346</v>
      </c>
      <c r="S678" s="4">
        <v>26</v>
      </c>
      <c r="T678" s="4">
        <v>94</v>
      </c>
      <c r="U678" s="5" t="s">
        <v>1535</v>
      </c>
      <c r="V678" s="5" t="s">
        <v>4750</v>
      </c>
      <c r="W678" s="5" t="s">
        <v>4751</v>
      </c>
      <c r="X678" s="5" t="s">
        <v>4751</v>
      </c>
      <c r="Y678" s="4">
        <v>257</v>
      </c>
      <c r="Z678" s="4">
        <v>193</v>
      </c>
      <c r="AA678" s="4">
        <v>197</v>
      </c>
      <c r="AB678" s="4">
        <v>3</v>
      </c>
      <c r="AC678" s="4">
        <v>3</v>
      </c>
      <c r="AD678" s="4">
        <v>5</v>
      </c>
      <c r="AE678" s="4">
        <v>5</v>
      </c>
      <c r="AF678" s="4">
        <v>1</v>
      </c>
      <c r="AG678" s="4">
        <v>1</v>
      </c>
      <c r="AH678" s="4">
        <v>2</v>
      </c>
      <c r="AI678" s="4">
        <v>2</v>
      </c>
      <c r="AJ678" s="4">
        <v>3</v>
      </c>
      <c r="AK678" s="4">
        <v>3</v>
      </c>
      <c r="AL678" s="4">
        <v>1</v>
      </c>
      <c r="AM678" s="4">
        <v>1</v>
      </c>
      <c r="AN678" s="4">
        <v>0</v>
      </c>
      <c r="AO678" s="4">
        <v>0</v>
      </c>
      <c r="AP678" s="3" t="s">
        <v>58</v>
      </c>
      <c r="AQ678" s="3" t="s">
        <v>115</v>
      </c>
      <c r="AR678" s="6" t="str">
        <f t="shared" si="0"/>
        <v>HathiTrust Record</v>
      </c>
      <c r="AS678" s="6" t="str">
        <f t="shared" si="1"/>
        <v>Catalog Record</v>
      </c>
      <c r="AT678" s="6" t="str">
        <f t="shared" si="2"/>
        <v>WorldCat Record</v>
      </c>
    </row>
    <row r="679" spans="1:46" ht="40.5" customHeight="1" x14ac:dyDescent="0.25">
      <c r="A679" s="8" t="s">
        <v>58</v>
      </c>
      <c r="B679" s="2" t="s">
        <v>4745</v>
      </c>
      <c r="C679" s="2" t="s">
        <v>4746</v>
      </c>
      <c r="D679" s="2" t="s">
        <v>4747</v>
      </c>
      <c r="E679" s="3" t="s">
        <v>4752</v>
      </c>
      <c r="F679" s="3" t="s">
        <v>115</v>
      </c>
      <c r="G679" s="3" t="s">
        <v>59</v>
      </c>
      <c r="H679" s="3" t="s">
        <v>58</v>
      </c>
      <c r="I679" s="3" t="s">
        <v>58</v>
      </c>
      <c r="J679" s="3" t="s">
        <v>60</v>
      </c>
      <c r="L679" s="2" t="s">
        <v>4748</v>
      </c>
      <c r="M679" s="3" t="s">
        <v>1122</v>
      </c>
      <c r="N679" s="2" t="s">
        <v>174</v>
      </c>
      <c r="O679" s="3" t="s">
        <v>64</v>
      </c>
      <c r="P679" s="3" t="s">
        <v>112</v>
      </c>
      <c r="R679" s="3" t="s">
        <v>1346</v>
      </c>
      <c r="S679" s="4">
        <v>21</v>
      </c>
      <c r="T679" s="4">
        <v>94</v>
      </c>
      <c r="U679" s="5" t="s">
        <v>4753</v>
      </c>
      <c r="V679" s="5" t="s">
        <v>4750</v>
      </c>
      <c r="W679" s="5" t="s">
        <v>4751</v>
      </c>
      <c r="X679" s="5" t="s">
        <v>4751</v>
      </c>
      <c r="Y679" s="4">
        <v>257</v>
      </c>
      <c r="Z679" s="4">
        <v>193</v>
      </c>
      <c r="AA679" s="4">
        <v>197</v>
      </c>
      <c r="AB679" s="4">
        <v>3</v>
      </c>
      <c r="AC679" s="4">
        <v>3</v>
      </c>
      <c r="AD679" s="4">
        <v>5</v>
      </c>
      <c r="AE679" s="4">
        <v>5</v>
      </c>
      <c r="AF679" s="4">
        <v>1</v>
      </c>
      <c r="AG679" s="4">
        <v>1</v>
      </c>
      <c r="AH679" s="4">
        <v>2</v>
      </c>
      <c r="AI679" s="4">
        <v>2</v>
      </c>
      <c r="AJ679" s="4">
        <v>3</v>
      </c>
      <c r="AK679" s="4">
        <v>3</v>
      </c>
      <c r="AL679" s="4">
        <v>1</v>
      </c>
      <c r="AM679" s="4">
        <v>1</v>
      </c>
      <c r="AN679" s="4">
        <v>0</v>
      </c>
      <c r="AO679" s="4">
        <v>0</v>
      </c>
      <c r="AP679" s="3" t="s">
        <v>58</v>
      </c>
      <c r="AQ679" s="3" t="s">
        <v>115</v>
      </c>
      <c r="AR679" s="6" t="str">
        <f t="shared" si="0"/>
        <v>HathiTrust Record</v>
      </c>
      <c r="AS679" s="6" t="str">
        <f t="shared" si="1"/>
        <v>Catalog Record</v>
      </c>
      <c r="AT679" s="6" t="str">
        <f t="shared" si="2"/>
        <v>WorldCat Record</v>
      </c>
    </row>
    <row r="680" spans="1:46" ht="40.5" customHeight="1" x14ac:dyDescent="0.25">
      <c r="A680" s="8" t="s">
        <v>58</v>
      </c>
      <c r="B680" s="2" t="s">
        <v>4745</v>
      </c>
      <c r="C680" s="2" t="s">
        <v>4746</v>
      </c>
      <c r="D680" s="2" t="s">
        <v>4747</v>
      </c>
      <c r="E680" s="3" t="s">
        <v>4678</v>
      </c>
      <c r="F680" s="3" t="s">
        <v>115</v>
      </c>
      <c r="G680" s="3" t="s">
        <v>59</v>
      </c>
      <c r="H680" s="3" t="s">
        <v>58</v>
      </c>
      <c r="I680" s="3" t="s">
        <v>58</v>
      </c>
      <c r="J680" s="3" t="s">
        <v>60</v>
      </c>
      <c r="L680" s="2" t="s">
        <v>4748</v>
      </c>
      <c r="M680" s="3" t="s">
        <v>1122</v>
      </c>
      <c r="N680" s="2" t="s">
        <v>174</v>
      </c>
      <c r="O680" s="3" t="s">
        <v>64</v>
      </c>
      <c r="P680" s="3" t="s">
        <v>112</v>
      </c>
      <c r="R680" s="3" t="s">
        <v>1346</v>
      </c>
      <c r="S680" s="4">
        <v>6</v>
      </c>
      <c r="T680" s="4">
        <v>94</v>
      </c>
      <c r="U680" s="5" t="s">
        <v>4754</v>
      </c>
      <c r="V680" s="5" t="s">
        <v>4750</v>
      </c>
      <c r="W680" s="5" t="s">
        <v>4751</v>
      </c>
      <c r="X680" s="5" t="s">
        <v>4751</v>
      </c>
      <c r="Y680" s="4">
        <v>257</v>
      </c>
      <c r="Z680" s="4">
        <v>193</v>
      </c>
      <c r="AA680" s="4">
        <v>197</v>
      </c>
      <c r="AB680" s="4">
        <v>3</v>
      </c>
      <c r="AC680" s="4">
        <v>3</v>
      </c>
      <c r="AD680" s="4">
        <v>5</v>
      </c>
      <c r="AE680" s="4">
        <v>5</v>
      </c>
      <c r="AF680" s="4">
        <v>1</v>
      </c>
      <c r="AG680" s="4">
        <v>1</v>
      </c>
      <c r="AH680" s="4">
        <v>2</v>
      </c>
      <c r="AI680" s="4">
        <v>2</v>
      </c>
      <c r="AJ680" s="4">
        <v>3</v>
      </c>
      <c r="AK680" s="4">
        <v>3</v>
      </c>
      <c r="AL680" s="4">
        <v>1</v>
      </c>
      <c r="AM680" s="4">
        <v>1</v>
      </c>
      <c r="AN680" s="4">
        <v>0</v>
      </c>
      <c r="AO680" s="4">
        <v>0</v>
      </c>
      <c r="AP680" s="3" t="s">
        <v>58</v>
      </c>
      <c r="AQ680" s="3" t="s">
        <v>115</v>
      </c>
      <c r="AR680" s="6" t="str">
        <f t="shared" si="0"/>
        <v>HathiTrust Record</v>
      </c>
      <c r="AS680" s="6" t="str">
        <f t="shared" si="1"/>
        <v>Catalog Record</v>
      </c>
      <c r="AT680" s="6" t="str">
        <f t="shared" si="2"/>
        <v>WorldCat Record</v>
      </c>
    </row>
    <row r="681" spans="1:46" ht="40.5" customHeight="1" x14ac:dyDescent="0.25">
      <c r="A681" s="8" t="s">
        <v>58</v>
      </c>
      <c r="B681" s="2" t="s">
        <v>4745</v>
      </c>
      <c r="C681" s="2" t="s">
        <v>4746</v>
      </c>
      <c r="D681" s="2" t="s">
        <v>4747</v>
      </c>
      <c r="E681" s="3" t="s">
        <v>492</v>
      </c>
      <c r="F681" s="3" t="s">
        <v>115</v>
      </c>
      <c r="G681" s="3" t="s">
        <v>59</v>
      </c>
      <c r="H681" s="3" t="s">
        <v>58</v>
      </c>
      <c r="I681" s="3" t="s">
        <v>58</v>
      </c>
      <c r="J681" s="3" t="s">
        <v>60</v>
      </c>
      <c r="L681" s="2" t="s">
        <v>4748</v>
      </c>
      <c r="M681" s="3" t="s">
        <v>1122</v>
      </c>
      <c r="N681" s="2" t="s">
        <v>174</v>
      </c>
      <c r="O681" s="3" t="s">
        <v>64</v>
      </c>
      <c r="P681" s="3" t="s">
        <v>112</v>
      </c>
      <c r="R681" s="3" t="s">
        <v>1346</v>
      </c>
      <c r="S681" s="4">
        <v>15</v>
      </c>
      <c r="T681" s="4">
        <v>94</v>
      </c>
      <c r="U681" s="5" t="s">
        <v>4755</v>
      </c>
      <c r="V681" s="5" t="s">
        <v>4750</v>
      </c>
      <c r="W681" s="5" t="s">
        <v>4751</v>
      </c>
      <c r="X681" s="5" t="s">
        <v>4751</v>
      </c>
      <c r="Y681" s="4">
        <v>257</v>
      </c>
      <c r="Z681" s="4">
        <v>193</v>
      </c>
      <c r="AA681" s="4">
        <v>197</v>
      </c>
      <c r="AB681" s="4">
        <v>3</v>
      </c>
      <c r="AC681" s="4">
        <v>3</v>
      </c>
      <c r="AD681" s="4">
        <v>5</v>
      </c>
      <c r="AE681" s="4">
        <v>5</v>
      </c>
      <c r="AF681" s="4">
        <v>1</v>
      </c>
      <c r="AG681" s="4">
        <v>1</v>
      </c>
      <c r="AH681" s="4">
        <v>2</v>
      </c>
      <c r="AI681" s="4">
        <v>2</v>
      </c>
      <c r="AJ681" s="4">
        <v>3</v>
      </c>
      <c r="AK681" s="4">
        <v>3</v>
      </c>
      <c r="AL681" s="4">
        <v>1</v>
      </c>
      <c r="AM681" s="4">
        <v>1</v>
      </c>
      <c r="AN681" s="4">
        <v>0</v>
      </c>
      <c r="AO681" s="4">
        <v>0</v>
      </c>
      <c r="AP681" s="3" t="s">
        <v>58</v>
      </c>
      <c r="AQ681" s="3" t="s">
        <v>115</v>
      </c>
      <c r="AR681" s="6" t="str">
        <f t="shared" si="0"/>
        <v>HathiTrust Record</v>
      </c>
      <c r="AS681" s="6" t="str">
        <f t="shared" si="1"/>
        <v>Catalog Record</v>
      </c>
      <c r="AT681" s="6" t="str">
        <f t="shared" si="2"/>
        <v>WorldCat Record</v>
      </c>
    </row>
    <row r="682" spans="1:46" ht="40.5" customHeight="1" x14ac:dyDescent="0.25">
      <c r="A682" s="8" t="s">
        <v>58</v>
      </c>
      <c r="B682" s="2" t="s">
        <v>4745</v>
      </c>
      <c r="C682" s="2" t="s">
        <v>4746</v>
      </c>
      <c r="D682" s="2" t="s">
        <v>4747</v>
      </c>
      <c r="E682" s="3" t="s">
        <v>480</v>
      </c>
      <c r="F682" s="3" t="s">
        <v>115</v>
      </c>
      <c r="G682" s="3" t="s">
        <v>59</v>
      </c>
      <c r="H682" s="3" t="s">
        <v>58</v>
      </c>
      <c r="I682" s="3" t="s">
        <v>58</v>
      </c>
      <c r="J682" s="3" t="s">
        <v>60</v>
      </c>
      <c r="L682" s="2" t="s">
        <v>4748</v>
      </c>
      <c r="M682" s="3" t="s">
        <v>1122</v>
      </c>
      <c r="N682" s="2" t="s">
        <v>174</v>
      </c>
      <c r="O682" s="3" t="s">
        <v>64</v>
      </c>
      <c r="P682" s="3" t="s">
        <v>112</v>
      </c>
      <c r="R682" s="3" t="s">
        <v>1346</v>
      </c>
      <c r="S682" s="4">
        <v>15</v>
      </c>
      <c r="T682" s="4">
        <v>94</v>
      </c>
      <c r="U682" s="5" t="s">
        <v>4750</v>
      </c>
      <c r="V682" s="5" t="s">
        <v>4750</v>
      </c>
      <c r="W682" s="5" t="s">
        <v>4751</v>
      </c>
      <c r="X682" s="5" t="s">
        <v>4751</v>
      </c>
      <c r="Y682" s="4">
        <v>257</v>
      </c>
      <c r="Z682" s="4">
        <v>193</v>
      </c>
      <c r="AA682" s="4">
        <v>197</v>
      </c>
      <c r="AB682" s="4">
        <v>3</v>
      </c>
      <c r="AC682" s="4">
        <v>3</v>
      </c>
      <c r="AD682" s="4">
        <v>5</v>
      </c>
      <c r="AE682" s="4">
        <v>5</v>
      </c>
      <c r="AF682" s="4">
        <v>1</v>
      </c>
      <c r="AG682" s="4">
        <v>1</v>
      </c>
      <c r="AH682" s="4">
        <v>2</v>
      </c>
      <c r="AI682" s="4">
        <v>2</v>
      </c>
      <c r="AJ682" s="4">
        <v>3</v>
      </c>
      <c r="AK682" s="4">
        <v>3</v>
      </c>
      <c r="AL682" s="4">
        <v>1</v>
      </c>
      <c r="AM682" s="4">
        <v>1</v>
      </c>
      <c r="AN682" s="4">
        <v>0</v>
      </c>
      <c r="AO682" s="4">
        <v>0</v>
      </c>
      <c r="AP682" s="3" t="s">
        <v>58</v>
      </c>
      <c r="AQ682" s="3" t="s">
        <v>115</v>
      </c>
      <c r="AR682" s="6" t="str">
        <f t="shared" si="0"/>
        <v>HathiTrust Record</v>
      </c>
      <c r="AS682" s="6" t="str">
        <f t="shared" si="1"/>
        <v>Catalog Record</v>
      </c>
      <c r="AT682" s="6" t="str">
        <f t="shared" si="2"/>
        <v>WorldCat Record</v>
      </c>
    </row>
    <row r="683" spans="1:46" ht="40.5" customHeight="1" x14ac:dyDescent="0.25">
      <c r="A683" s="8" t="s">
        <v>58</v>
      </c>
      <c r="B683" s="2" t="s">
        <v>4756</v>
      </c>
      <c r="C683" s="2" t="s">
        <v>4757</v>
      </c>
      <c r="D683" s="2" t="s">
        <v>4758</v>
      </c>
      <c r="F683" s="3" t="s">
        <v>58</v>
      </c>
      <c r="G683" s="3" t="s">
        <v>59</v>
      </c>
      <c r="H683" s="3" t="s">
        <v>58</v>
      </c>
      <c r="I683" s="3" t="s">
        <v>58</v>
      </c>
      <c r="J683" s="3" t="s">
        <v>60</v>
      </c>
      <c r="L683" s="2" t="s">
        <v>3694</v>
      </c>
      <c r="M683" s="3" t="s">
        <v>380</v>
      </c>
      <c r="N683" s="2" t="s">
        <v>1662</v>
      </c>
      <c r="O683" s="3" t="s">
        <v>64</v>
      </c>
      <c r="P683" s="3" t="s">
        <v>65</v>
      </c>
      <c r="Q683" s="2" t="s">
        <v>4759</v>
      </c>
      <c r="R683" s="3" t="s">
        <v>1346</v>
      </c>
      <c r="S683" s="4">
        <v>6</v>
      </c>
      <c r="T683" s="4">
        <v>6</v>
      </c>
      <c r="U683" s="5" t="s">
        <v>4760</v>
      </c>
      <c r="V683" s="5" t="s">
        <v>4760</v>
      </c>
      <c r="W683" s="5" t="s">
        <v>1778</v>
      </c>
      <c r="X683" s="5" t="s">
        <v>1778</v>
      </c>
      <c r="Y683" s="4">
        <v>150</v>
      </c>
      <c r="Z683" s="4">
        <v>98</v>
      </c>
      <c r="AA683" s="4">
        <v>179</v>
      </c>
      <c r="AB683" s="4">
        <v>1</v>
      </c>
      <c r="AC683" s="4">
        <v>1</v>
      </c>
      <c r="AD683" s="4">
        <v>3</v>
      </c>
      <c r="AE683" s="4">
        <v>6</v>
      </c>
      <c r="AF683" s="4">
        <v>1</v>
      </c>
      <c r="AG683" s="4">
        <v>1</v>
      </c>
      <c r="AH683" s="4">
        <v>1</v>
      </c>
      <c r="AI683" s="4">
        <v>2</v>
      </c>
      <c r="AJ683" s="4">
        <v>1</v>
      </c>
      <c r="AK683" s="4">
        <v>2</v>
      </c>
      <c r="AL683" s="4">
        <v>0</v>
      </c>
      <c r="AM683" s="4">
        <v>0</v>
      </c>
      <c r="AN683" s="4">
        <v>0</v>
      </c>
      <c r="AO683" s="4">
        <v>1</v>
      </c>
      <c r="AP683" s="3" t="s">
        <v>58</v>
      </c>
      <c r="AQ683" s="3" t="s">
        <v>58</v>
      </c>
      <c r="AS683" s="6" t="str">
        <f>HYPERLINK("https://creighton-primo.hosted.exlibrisgroup.com/primo-explore/search?tab=default_tab&amp;search_scope=EVERYTHING&amp;vid=01CRU&amp;lang=en_US&amp;offset=0&amp;query=any,contains,991001512039702656","Catalog Record")</f>
        <v>Catalog Record</v>
      </c>
      <c r="AT683" s="6" t="str">
        <f>HYPERLINK("http://www.worldcat.org/oclc/27187740","WorldCat Record")</f>
        <v>WorldCat Record</v>
      </c>
    </row>
    <row r="684" spans="1:46" ht="40.5" customHeight="1" x14ac:dyDescent="0.25">
      <c r="A684" s="8" t="s">
        <v>58</v>
      </c>
      <c r="B684" s="2" t="s">
        <v>4761</v>
      </c>
      <c r="C684" s="2" t="s">
        <v>4762</v>
      </c>
      <c r="D684" s="2" t="s">
        <v>4763</v>
      </c>
      <c r="F684" s="3" t="s">
        <v>58</v>
      </c>
      <c r="G684" s="3" t="s">
        <v>59</v>
      </c>
      <c r="H684" s="3" t="s">
        <v>58</v>
      </c>
      <c r="I684" s="3" t="s">
        <v>58</v>
      </c>
      <c r="J684" s="3" t="s">
        <v>60</v>
      </c>
      <c r="K684" s="2" t="s">
        <v>4764</v>
      </c>
      <c r="L684" s="2" t="s">
        <v>4765</v>
      </c>
      <c r="M684" s="3" t="s">
        <v>336</v>
      </c>
      <c r="N684" s="2" t="s">
        <v>1344</v>
      </c>
      <c r="O684" s="3" t="s">
        <v>64</v>
      </c>
      <c r="P684" s="3" t="s">
        <v>144</v>
      </c>
      <c r="R684" s="3" t="s">
        <v>1346</v>
      </c>
      <c r="S684" s="4">
        <v>24</v>
      </c>
      <c r="T684" s="4">
        <v>24</v>
      </c>
      <c r="U684" s="5" t="s">
        <v>4766</v>
      </c>
      <c r="V684" s="5" t="s">
        <v>4766</v>
      </c>
      <c r="W684" s="5" t="s">
        <v>4708</v>
      </c>
      <c r="X684" s="5" t="s">
        <v>4708</v>
      </c>
      <c r="Y684" s="4">
        <v>198</v>
      </c>
      <c r="Z684" s="4">
        <v>134</v>
      </c>
      <c r="AA684" s="4">
        <v>198</v>
      </c>
      <c r="AB684" s="4">
        <v>1</v>
      </c>
      <c r="AC684" s="4">
        <v>1</v>
      </c>
      <c r="AD684" s="4">
        <v>3</v>
      </c>
      <c r="AE684" s="4">
        <v>3</v>
      </c>
      <c r="AF684" s="4">
        <v>1</v>
      </c>
      <c r="AG684" s="4">
        <v>1</v>
      </c>
      <c r="AH684" s="4">
        <v>1</v>
      </c>
      <c r="AI684" s="4">
        <v>1</v>
      </c>
      <c r="AJ684" s="4">
        <v>1</v>
      </c>
      <c r="AK684" s="4">
        <v>1</v>
      </c>
      <c r="AL684" s="4">
        <v>0</v>
      </c>
      <c r="AM684" s="4">
        <v>0</v>
      </c>
      <c r="AN684" s="4">
        <v>0</v>
      </c>
      <c r="AO684" s="4">
        <v>0</v>
      </c>
      <c r="AP684" s="3" t="s">
        <v>58</v>
      </c>
      <c r="AQ684" s="3" t="s">
        <v>115</v>
      </c>
      <c r="AR684" s="6" t="str">
        <f>HYPERLINK("http://catalog.hathitrust.org/Record/000707573","HathiTrust Record")</f>
        <v>HathiTrust Record</v>
      </c>
      <c r="AS684" s="6" t="str">
        <f>HYPERLINK("https://creighton-primo.hosted.exlibrisgroup.com/primo-explore/search?tab=default_tab&amp;search_scope=EVERYTHING&amp;vid=01CRU&amp;lang=en_US&amp;offset=0&amp;query=any,contains,991000748399702656","Catalog Record")</f>
        <v>Catalog Record</v>
      </c>
      <c r="AT684" s="6" t="str">
        <f>HYPERLINK("http://www.worldcat.org/oclc/6579734","WorldCat Record")</f>
        <v>WorldCat Record</v>
      </c>
    </row>
    <row r="685" spans="1:46" ht="40.5" customHeight="1" x14ac:dyDescent="0.25">
      <c r="A685" s="8" t="s">
        <v>58</v>
      </c>
      <c r="B685" s="2" t="s">
        <v>4767</v>
      </c>
      <c r="C685" s="2" t="s">
        <v>4768</v>
      </c>
      <c r="D685" s="2" t="s">
        <v>4769</v>
      </c>
      <c r="F685" s="3" t="s">
        <v>58</v>
      </c>
      <c r="G685" s="3" t="s">
        <v>59</v>
      </c>
      <c r="H685" s="3" t="s">
        <v>58</v>
      </c>
      <c r="I685" s="3" t="s">
        <v>58</v>
      </c>
      <c r="J685" s="3" t="s">
        <v>60</v>
      </c>
      <c r="L685" s="2" t="s">
        <v>4770</v>
      </c>
      <c r="M685" s="3" t="s">
        <v>628</v>
      </c>
      <c r="O685" s="3" t="s">
        <v>64</v>
      </c>
      <c r="P685" s="3" t="s">
        <v>144</v>
      </c>
      <c r="R685" s="3" t="s">
        <v>1346</v>
      </c>
      <c r="S685" s="4">
        <v>37</v>
      </c>
      <c r="T685" s="4">
        <v>37</v>
      </c>
      <c r="U685" s="5" t="s">
        <v>4771</v>
      </c>
      <c r="V685" s="5" t="s">
        <v>4771</v>
      </c>
      <c r="W685" s="5" t="s">
        <v>4708</v>
      </c>
      <c r="X685" s="5" t="s">
        <v>4708</v>
      </c>
      <c r="Y685" s="4">
        <v>166</v>
      </c>
      <c r="Z685" s="4">
        <v>112</v>
      </c>
      <c r="AA685" s="4">
        <v>114</v>
      </c>
      <c r="AB685" s="4">
        <v>2</v>
      </c>
      <c r="AC685" s="4">
        <v>2</v>
      </c>
      <c r="AD685" s="4">
        <v>4</v>
      </c>
      <c r="AE685" s="4">
        <v>4</v>
      </c>
      <c r="AF685" s="4">
        <v>2</v>
      </c>
      <c r="AG685" s="4">
        <v>2</v>
      </c>
      <c r="AH685" s="4">
        <v>1</v>
      </c>
      <c r="AI685" s="4">
        <v>1</v>
      </c>
      <c r="AJ685" s="4">
        <v>0</v>
      </c>
      <c r="AK685" s="4">
        <v>0</v>
      </c>
      <c r="AL685" s="4">
        <v>1</v>
      </c>
      <c r="AM685" s="4">
        <v>1</v>
      </c>
      <c r="AN685" s="4">
        <v>0</v>
      </c>
      <c r="AO685" s="4">
        <v>0</v>
      </c>
      <c r="AP685" s="3" t="s">
        <v>58</v>
      </c>
      <c r="AQ685" s="3" t="s">
        <v>115</v>
      </c>
      <c r="AR685" s="6" t="str">
        <f>HYPERLINK("http://catalog.hathitrust.org/Record/001579393","HathiTrust Record")</f>
        <v>HathiTrust Record</v>
      </c>
      <c r="AS685" s="6" t="str">
        <f>HYPERLINK("https://creighton-primo.hosted.exlibrisgroup.com/primo-explore/search?tab=default_tab&amp;search_scope=EVERYTHING&amp;vid=01CRU&amp;lang=en_US&amp;offset=0&amp;query=any,contains,991000748469702656","Catalog Record")</f>
        <v>Catalog Record</v>
      </c>
      <c r="AT685" s="6" t="str">
        <f>HYPERLINK("http://www.worldcat.org/oclc/745967","WorldCat Record")</f>
        <v>WorldCat Record</v>
      </c>
    </row>
    <row r="686" spans="1:46" ht="40.5" customHeight="1" x14ac:dyDescent="0.25">
      <c r="A686" s="8" t="s">
        <v>58</v>
      </c>
      <c r="B686" s="2" t="s">
        <v>4772</v>
      </c>
      <c r="C686" s="2" t="s">
        <v>4773</v>
      </c>
      <c r="D686" s="2" t="s">
        <v>4774</v>
      </c>
      <c r="F686" s="3" t="s">
        <v>58</v>
      </c>
      <c r="G686" s="3" t="s">
        <v>59</v>
      </c>
      <c r="H686" s="3" t="s">
        <v>58</v>
      </c>
      <c r="I686" s="3" t="s">
        <v>58</v>
      </c>
      <c r="J686" s="3" t="s">
        <v>60</v>
      </c>
      <c r="K686" s="2" t="s">
        <v>4383</v>
      </c>
      <c r="L686" s="2" t="s">
        <v>4775</v>
      </c>
      <c r="M686" s="3" t="s">
        <v>3314</v>
      </c>
      <c r="N686" s="2" t="s">
        <v>221</v>
      </c>
      <c r="O686" s="3" t="s">
        <v>64</v>
      </c>
      <c r="P686" s="3" t="s">
        <v>65</v>
      </c>
      <c r="R686" s="3" t="s">
        <v>1346</v>
      </c>
      <c r="S686" s="4">
        <v>3</v>
      </c>
      <c r="T686" s="4">
        <v>3</v>
      </c>
      <c r="U686" s="5" t="s">
        <v>4776</v>
      </c>
      <c r="V686" s="5" t="s">
        <v>4776</v>
      </c>
      <c r="W686" s="5" t="s">
        <v>2335</v>
      </c>
      <c r="X686" s="5" t="s">
        <v>2335</v>
      </c>
      <c r="Y686" s="4">
        <v>261</v>
      </c>
      <c r="Z686" s="4">
        <v>212</v>
      </c>
      <c r="AA686" s="4">
        <v>387</v>
      </c>
      <c r="AB686" s="4">
        <v>4</v>
      </c>
      <c r="AC686" s="4">
        <v>6</v>
      </c>
      <c r="AD686" s="4">
        <v>5</v>
      </c>
      <c r="AE686" s="4">
        <v>12</v>
      </c>
      <c r="AF686" s="4">
        <v>1</v>
      </c>
      <c r="AG686" s="4">
        <v>4</v>
      </c>
      <c r="AH686" s="4">
        <v>1</v>
      </c>
      <c r="AI686" s="4">
        <v>2</v>
      </c>
      <c r="AJ686" s="4">
        <v>1</v>
      </c>
      <c r="AK686" s="4">
        <v>5</v>
      </c>
      <c r="AL686" s="4">
        <v>3</v>
      </c>
      <c r="AM686" s="4">
        <v>5</v>
      </c>
      <c r="AN686" s="4">
        <v>0</v>
      </c>
      <c r="AO686" s="4">
        <v>0</v>
      </c>
      <c r="AP686" s="3" t="s">
        <v>58</v>
      </c>
      <c r="AQ686" s="3" t="s">
        <v>115</v>
      </c>
      <c r="AR686" s="6" t="str">
        <f>HYPERLINK("http://catalog.hathitrust.org/Record/001579394","HathiTrust Record")</f>
        <v>HathiTrust Record</v>
      </c>
      <c r="AS686" s="6" t="str">
        <f>HYPERLINK("https://creighton-primo.hosted.exlibrisgroup.com/primo-explore/search?tab=default_tab&amp;search_scope=EVERYTHING&amp;vid=01CRU&amp;lang=en_US&amp;offset=0&amp;query=any,contains,991000991389702656","Catalog Record")</f>
        <v>Catalog Record</v>
      </c>
      <c r="AT686" s="6" t="str">
        <f>HYPERLINK("http://www.worldcat.org/oclc/831412","WorldCat Record")</f>
        <v>WorldCat Record</v>
      </c>
    </row>
    <row r="687" spans="1:46" ht="40.5" customHeight="1" x14ac:dyDescent="0.25">
      <c r="A687" s="8" t="s">
        <v>58</v>
      </c>
      <c r="B687" s="2" t="s">
        <v>4777</v>
      </c>
      <c r="C687" s="2" t="s">
        <v>4778</v>
      </c>
      <c r="D687" s="2" t="s">
        <v>4779</v>
      </c>
      <c r="F687" s="3" t="s">
        <v>58</v>
      </c>
      <c r="G687" s="3" t="s">
        <v>59</v>
      </c>
      <c r="H687" s="3" t="s">
        <v>58</v>
      </c>
      <c r="I687" s="3" t="s">
        <v>115</v>
      </c>
      <c r="J687" s="3" t="s">
        <v>60</v>
      </c>
      <c r="K687" s="2" t="s">
        <v>4780</v>
      </c>
      <c r="L687" s="2" t="s">
        <v>2098</v>
      </c>
      <c r="M687" s="3" t="s">
        <v>189</v>
      </c>
      <c r="N687" s="2" t="s">
        <v>936</v>
      </c>
      <c r="O687" s="3" t="s">
        <v>64</v>
      </c>
      <c r="P687" s="3" t="s">
        <v>144</v>
      </c>
      <c r="R687" s="3" t="s">
        <v>1346</v>
      </c>
      <c r="S687" s="4">
        <v>34</v>
      </c>
      <c r="T687" s="4">
        <v>34</v>
      </c>
      <c r="U687" s="5" t="s">
        <v>4781</v>
      </c>
      <c r="V687" s="5" t="s">
        <v>4781</v>
      </c>
      <c r="W687" s="5" t="s">
        <v>4782</v>
      </c>
      <c r="X687" s="5" t="s">
        <v>4782</v>
      </c>
      <c r="Y687" s="4">
        <v>102</v>
      </c>
      <c r="Z687" s="4">
        <v>73</v>
      </c>
      <c r="AA687" s="4">
        <v>266</v>
      </c>
      <c r="AB687" s="4">
        <v>1</v>
      </c>
      <c r="AC687" s="4">
        <v>1</v>
      </c>
      <c r="AD687" s="4">
        <v>4</v>
      </c>
      <c r="AE687" s="4">
        <v>12</v>
      </c>
      <c r="AF687" s="4">
        <v>3</v>
      </c>
      <c r="AG687" s="4">
        <v>8</v>
      </c>
      <c r="AH687" s="4">
        <v>1</v>
      </c>
      <c r="AI687" s="4">
        <v>4</v>
      </c>
      <c r="AJ687" s="4">
        <v>1</v>
      </c>
      <c r="AK687" s="4">
        <v>3</v>
      </c>
      <c r="AL687" s="4">
        <v>0</v>
      </c>
      <c r="AM687" s="4">
        <v>0</v>
      </c>
      <c r="AN687" s="4">
        <v>0</v>
      </c>
      <c r="AO687" s="4">
        <v>0</v>
      </c>
      <c r="AP687" s="3" t="s">
        <v>58</v>
      </c>
      <c r="AQ687" s="3" t="s">
        <v>115</v>
      </c>
      <c r="AR687" s="6" t="str">
        <f>HYPERLINK("http://catalog.hathitrust.org/Record/002530377","HathiTrust Record")</f>
        <v>HathiTrust Record</v>
      </c>
      <c r="AS687" s="6" t="str">
        <f>HYPERLINK("https://creighton-primo.hosted.exlibrisgroup.com/primo-explore/search?tab=default_tab&amp;search_scope=EVERYTHING&amp;vid=01CRU&amp;lang=en_US&amp;offset=0&amp;query=any,contains,991001401439702656","Catalog Record")</f>
        <v>Catalog Record</v>
      </c>
      <c r="AT687" s="6" t="str">
        <f>HYPERLINK("http://www.worldcat.org/oclc/23941653","WorldCat Record")</f>
        <v>WorldCat Record</v>
      </c>
    </row>
    <row r="688" spans="1:46" ht="40.5" customHeight="1" x14ac:dyDescent="0.25">
      <c r="A688" s="8" t="s">
        <v>58</v>
      </c>
      <c r="B688" s="2" t="s">
        <v>4783</v>
      </c>
      <c r="C688" s="2" t="s">
        <v>4784</v>
      </c>
      <c r="D688" s="2" t="s">
        <v>4785</v>
      </c>
      <c r="F688" s="3" t="s">
        <v>58</v>
      </c>
      <c r="G688" s="3" t="s">
        <v>59</v>
      </c>
      <c r="H688" s="3" t="s">
        <v>58</v>
      </c>
      <c r="I688" s="3" t="s">
        <v>58</v>
      </c>
      <c r="J688" s="3" t="s">
        <v>60</v>
      </c>
      <c r="L688" s="2" t="s">
        <v>4786</v>
      </c>
      <c r="M688" s="3" t="s">
        <v>173</v>
      </c>
      <c r="N688" s="2" t="s">
        <v>221</v>
      </c>
      <c r="O688" s="3" t="s">
        <v>64</v>
      </c>
      <c r="P688" s="3" t="s">
        <v>144</v>
      </c>
      <c r="R688" s="3" t="s">
        <v>1346</v>
      </c>
      <c r="S688" s="4">
        <v>202</v>
      </c>
      <c r="T688" s="4">
        <v>202</v>
      </c>
      <c r="U688" s="5" t="s">
        <v>4787</v>
      </c>
      <c r="V688" s="5" t="s">
        <v>4787</v>
      </c>
      <c r="W688" s="5" t="s">
        <v>3045</v>
      </c>
      <c r="X688" s="5" t="s">
        <v>3045</v>
      </c>
      <c r="Y688" s="4">
        <v>232</v>
      </c>
      <c r="Z688" s="4">
        <v>147</v>
      </c>
      <c r="AA688" s="4">
        <v>211</v>
      </c>
      <c r="AB688" s="4">
        <v>1</v>
      </c>
      <c r="AC688" s="4">
        <v>1</v>
      </c>
      <c r="AD688" s="4">
        <v>8</v>
      </c>
      <c r="AE688" s="4">
        <v>9</v>
      </c>
      <c r="AF688" s="4">
        <v>4</v>
      </c>
      <c r="AG688" s="4">
        <v>4</v>
      </c>
      <c r="AH688" s="4">
        <v>2</v>
      </c>
      <c r="AI688" s="4">
        <v>2</v>
      </c>
      <c r="AJ688" s="4">
        <v>4</v>
      </c>
      <c r="AK688" s="4">
        <v>5</v>
      </c>
      <c r="AL688" s="4">
        <v>0</v>
      </c>
      <c r="AM688" s="4">
        <v>0</v>
      </c>
      <c r="AN688" s="4">
        <v>0</v>
      </c>
      <c r="AO688" s="4">
        <v>0</v>
      </c>
      <c r="AP688" s="3" t="s">
        <v>58</v>
      </c>
      <c r="AQ688" s="3" t="s">
        <v>115</v>
      </c>
      <c r="AR688" s="6" t="str">
        <f>HYPERLINK("http://catalog.hathitrust.org/Record/004572487","HathiTrust Record")</f>
        <v>HathiTrust Record</v>
      </c>
      <c r="AS688" s="6" t="str">
        <f>HYPERLINK("https://creighton-primo.hosted.exlibrisgroup.com/primo-explore/search?tab=default_tab&amp;search_scope=EVERYTHING&amp;vid=01CRU&amp;lang=en_US&amp;offset=0&amp;query=any,contains,991001491849702656","Catalog Record")</f>
        <v>Catalog Record</v>
      </c>
      <c r="AT688" s="6" t="str">
        <f>HYPERLINK("http://www.worldcat.org/oclc/30892084","WorldCat Record")</f>
        <v>WorldCat Record</v>
      </c>
    </row>
    <row r="689" spans="1:46" ht="40.5" customHeight="1" x14ac:dyDescent="0.25">
      <c r="A689" s="8" t="s">
        <v>58</v>
      </c>
      <c r="B689" s="2" t="s">
        <v>4788</v>
      </c>
      <c r="C689" s="2" t="s">
        <v>4789</v>
      </c>
      <c r="D689" s="2" t="s">
        <v>4790</v>
      </c>
      <c r="E689" s="3" t="s">
        <v>1265</v>
      </c>
      <c r="F689" s="3" t="s">
        <v>58</v>
      </c>
      <c r="G689" s="3" t="s">
        <v>59</v>
      </c>
      <c r="H689" s="3" t="s">
        <v>58</v>
      </c>
      <c r="I689" s="3" t="s">
        <v>58</v>
      </c>
      <c r="J689" s="3" t="s">
        <v>60</v>
      </c>
      <c r="K689" s="2" t="s">
        <v>4791</v>
      </c>
      <c r="L689" s="2" t="s">
        <v>4792</v>
      </c>
      <c r="M689" s="3" t="s">
        <v>142</v>
      </c>
      <c r="O689" s="3" t="s">
        <v>64</v>
      </c>
      <c r="P689" s="3" t="s">
        <v>112</v>
      </c>
      <c r="Q689" s="2" t="s">
        <v>4793</v>
      </c>
      <c r="R689" s="3" t="s">
        <v>1346</v>
      </c>
      <c r="S689" s="4">
        <v>20</v>
      </c>
      <c r="T689" s="4">
        <v>20</v>
      </c>
      <c r="U689" s="5" t="s">
        <v>4794</v>
      </c>
      <c r="V689" s="5" t="s">
        <v>4794</v>
      </c>
      <c r="W689" s="5" t="s">
        <v>1430</v>
      </c>
      <c r="X689" s="5" t="s">
        <v>1430</v>
      </c>
      <c r="Y689" s="4">
        <v>106</v>
      </c>
      <c r="Z689" s="4">
        <v>62</v>
      </c>
      <c r="AA689" s="4">
        <v>64</v>
      </c>
      <c r="AB689" s="4">
        <v>1</v>
      </c>
      <c r="AC689" s="4">
        <v>1</v>
      </c>
      <c r="AD689" s="4">
        <v>2</v>
      </c>
      <c r="AE689" s="4">
        <v>2</v>
      </c>
      <c r="AF689" s="4">
        <v>1</v>
      </c>
      <c r="AG689" s="4">
        <v>1</v>
      </c>
      <c r="AH689" s="4">
        <v>1</v>
      </c>
      <c r="AI689" s="4">
        <v>1</v>
      </c>
      <c r="AJ689" s="4">
        <v>0</v>
      </c>
      <c r="AK689" s="4">
        <v>0</v>
      </c>
      <c r="AL689" s="4">
        <v>0</v>
      </c>
      <c r="AM689" s="4">
        <v>0</v>
      </c>
      <c r="AN689" s="4">
        <v>0</v>
      </c>
      <c r="AO689" s="4">
        <v>0</v>
      </c>
      <c r="AP689" s="3" t="s">
        <v>58</v>
      </c>
      <c r="AQ689" s="3" t="s">
        <v>115</v>
      </c>
      <c r="AR689" s="6" t="str">
        <f>HYPERLINK("http://catalog.hathitrust.org/Record/000951229","HathiTrust Record")</f>
        <v>HathiTrust Record</v>
      </c>
      <c r="AS689" s="6" t="str">
        <f>HYPERLINK("https://creighton-primo.hosted.exlibrisgroup.com/primo-explore/search?tab=default_tab&amp;search_scope=EVERYTHING&amp;vid=01CRU&amp;lang=en_US&amp;offset=0&amp;query=any,contains,991001297119702656","Catalog Record")</f>
        <v>Catalog Record</v>
      </c>
      <c r="AT689" s="6" t="str">
        <f>HYPERLINK("http://www.worldcat.org/oclc/17440756","WorldCat Record")</f>
        <v>WorldCat Record</v>
      </c>
    </row>
    <row r="690" spans="1:46" ht="40.5" customHeight="1" x14ac:dyDescent="0.25">
      <c r="A690" s="8" t="s">
        <v>58</v>
      </c>
      <c r="B690" s="2" t="s">
        <v>4795</v>
      </c>
      <c r="C690" s="2" t="s">
        <v>4796</v>
      </c>
      <c r="D690" s="2" t="s">
        <v>4797</v>
      </c>
      <c r="F690" s="3" t="s">
        <v>58</v>
      </c>
      <c r="G690" s="3" t="s">
        <v>59</v>
      </c>
      <c r="H690" s="3" t="s">
        <v>58</v>
      </c>
      <c r="I690" s="3" t="s">
        <v>115</v>
      </c>
      <c r="J690" s="3" t="s">
        <v>60</v>
      </c>
      <c r="L690" s="2" t="s">
        <v>1618</v>
      </c>
      <c r="M690" s="3" t="s">
        <v>142</v>
      </c>
      <c r="N690" s="2" t="s">
        <v>4798</v>
      </c>
      <c r="O690" s="3" t="s">
        <v>64</v>
      </c>
      <c r="P690" s="3" t="s">
        <v>1355</v>
      </c>
      <c r="R690" s="3" t="s">
        <v>1346</v>
      </c>
      <c r="S690" s="4">
        <v>120</v>
      </c>
      <c r="T690" s="4">
        <v>120</v>
      </c>
      <c r="U690" s="5" t="s">
        <v>4766</v>
      </c>
      <c r="V690" s="5" t="s">
        <v>4766</v>
      </c>
      <c r="W690" s="5" t="s">
        <v>1713</v>
      </c>
      <c r="X690" s="5" t="s">
        <v>1713</v>
      </c>
      <c r="Y690" s="4">
        <v>157</v>
      </c>
      <c r="Z690" s="4">
        <v>110</v>
      </c>
      <c r="AA690" s="4">
        <v>364</v>
      </c>
      <c r="AB690" s="4">
        <v>1</v>
      </c>
      <c r="AC690" s="4">
        <v>3</v>
      </c>
      <c r="AD690" s="4">
        <v>1</v>
      </c>
      <c r="AE690" s="4">
        <v>13</v>
      </c>
      <c r="AF690" s="4">
        <v>0</v>
      </c>
      <c r="AG690" s="4">
        <v>8</v>
      </c>
      <c r="AH690" s="4">
        <v>1</v>
      </c>
      <c r="AI690" s="4">
        <v>4</v>
      </c>
      <c r="AJ690" s="4">
        <v>0</v>
      </c>
      <c r="AK690" s="4">
        <v>3</v>
      </c>
      <c r="AL690" s="4">
        <v>0</v>
      </c>
      <c r="AM690" s="4">
        <v>1</v>
      </c>
      <c r="AN690" s="4">
        <v>0</v>
      </c>
      <c r="AO690" s="4">
        <v>0</v>
      </c>
      <c r="AP690" s="3" t="s">
        <v>58</v>
      </c>
      <c r="AQ690" s="3" t="s">
        <v>115</v>
      </c>
      <c r="AR690" s="6" t="str">
        <f>HYPERLINK("http://catalog.hathitrust.org/Record/002443443","HathiTrust Record")</f>
        <v>HathiTrust Record</v>
      </c>
      <c r="AS690" s="6" t="str">
        <f>HYPERLINK("https://creighton-primo.hosted.exlibrisgroup.com/primo-explore/search?tab=default_tab&amp;search_scope=EVERYTHING&amp;vid=01CRU&amp;lang=en_US&amp;offset=0&amp;query=any,contains,991000943969702656","Catalog Record")</f>
        <v>Catalog Record</v>
      </c>
      <c r="AT690" s="6" t="str">
        <f>HYPERLINK("http://www.worldcat.org/oclc/22813514","WorldCat Record")</f>
        <v>WorldCat Record</v>
      </c>
    </row>
    <row r="691" spans="1:46" ht="40.5" customHeight="1" x14ac:dyDescent="0.25">
      <c r="A691" s="8" t="s">
        <v>58</v>
      </c>
      <c r="B691" s="2" t="s">
        <v>4799</v>
      </c>
      <c r="C691" s="2" t="s">
        <v>4800</v>
      </c>
      <c r="D691" s="2" t="s">
        <v>4801</v>
      </c>
      <c r="F691" s="3" t="s">
        <v>58</v>
      </c>
      <c r="G691" s="3" t="s">
        <v>59</v>
      </c>
      <c r="H691" s="3" t="s">
        <v>58</v>
      </c>
      <c r="I691" s="3" t="s">
        <v>58</v>
      </c>
      <c r="J691" s="3" t="s">
        <v>60</v>
      </c>
      <c r="L691" s="2" t="s">
        <v>4802</v>
      </c>
      <c r="M691" s="3" t="s">
        <v>1511</v>
      </c>
      <c r="O691" s="3" t="s">
        <v>64</v>
      </c>
      <c r="P691" s="3" t="s">
        <v>96</v>
      </c>
      <c r="R691" s="3" t="s">
        <v>1346</v>
      </c>
      <c r="S691" s="4">
        <v>10</v>
      </c>
      <c r="T691" s="4">
        <v>10</v>
      </c>
      <c r="U691" s="5" t="s">
        <v>4803</v>
      </c>
      <c r="V691" s="5" t="s">
        <v>4803</v>
      </c>
      <c r="W691" s="5" t="s">
        <v>2075</v>
      </c>
      <c r="X691" s="5" t="s">
        <v>2075</v>
      </c>
      <c r="Y691" s="4">
        <v>8</v>
      </c>
      <c r="Z691" s="4">
        <v>8</v>
      </c>
      <c r="AA691" s="4">
        <v>18</v>
      </c>
      <c r="AB691" s="4">
        <v>1</v>
      </c>
      <c r="AC691" s="4">
        <v>1</v>
      </c>
      <c r="AD691" s="4">
        <v>0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0</v>
      </c>
      <c r="AP691" s="3" t="s">
        <v>58</v>
      </c>
      <c r="AQ691" s="3" t="s">
        <v>58</v>
      </c>
      <c r="AS691" s="6" t="str">
        <f>HYPERLINK("https://creighton-primo.hosted.exlibrisgroup.com/primo-explore/search?tab=default_tab&amp;search_scope=EVERYTHING&amp;vid=01CRU&amp;lang=en_US&amp;offset=0&amp;query=any,contains,991001298779702656","Catalog Record")</f>
        <v>Catalog Record</v>
      </c>
      <c r="AT691" s="6" t="str">
        <f>HYPERLINK("http://www.worldcat.org/oclc/20803463","WorldCat Record")</f>
        <v>WorldCat Record</v>
      </c>
    </row>
    <row r="692" spans="1:46" ht="40.5" customHeight="1" x14ac:dyDescent="0.25">
      <c r="A692" s="8" t="s">
        <v>58</v>
      </c>
      <c r="B692" s="2" t="s">
        <v>4804</v>
      </c>
      <c r="C692" s="2" t="s">
        <v>4805</v>
      </c>
      <c r="D692" s="2" t="s">
        <v>4806</v>
      </c>
      <c r="F692" s="3" t="s">
        <v>58</v>
      </c>
      <c r="G692" s="3" t="s">
        <v>59</v>
      </c>
      <c r="H692" s="3" t="s">
        <v>58</v>
      </c>
      <c r="I692" s="3" t="s">
        <v>58</v>
      </c>
      <c r="J692" s="3" t="s">
        <v>60</v>
      </c>
      <c r="K692" s="2" t="s">
        <v>4807</v>
      </c>
      <c r="L692" s="2" t="s">
        <v>4808</v>
      </c>
      <c r="M692" s="3" t="s">
        <v>907</v>
      </c>
      <c r="N692" s="2" t="s">
        <v>221</v>
      </c>
      <c r="O692" s="3" t="s">
        <v>64</v>
      </c>
      <c r="P692" s="3" t="s">
        <v>1406</v>
      </c>
      <c r="R692" s="3" t="s">
        <v>1346</v>
      </c>
      <c r="S692" s="4">
        <v>0</v>
      </c>
      <c r="T692" s="4">
        <v>0</v>
      </c>
      <c r="U692" s="5" t="s">
        <v>2731</v>
      </c>
      <c r="V692" s="5" t="s">
        <v>2731</v>
      </c>
      <c r="W692" s="5" t="s">
        <v>4809</v>
      </c>
      <c r="X692" s="5" t="s">
        <v>4809</v>
      </c>
      <c r="Y692" s="4">
        <v>44</v>
      </c>
      <c r="Z692" s="4">
        <v>36</v>
      </c>
      <c r="AA692" s="4">
        <v>698</v>
      </c>
      <c r="AB692" s="4">
        <v>0</v>
      </c>
      <c r="AC692" s="4">
        <v>5</v>
      </c>
      <c r="AD692" s="4">
        <v>0</v>
      </c>
      <c r="AE692" s="4">
        <v>19</v>
      </c>
      <c r="AF692" s="4">
        <v>0</v>
      </c>
      <c r="AG692" s="4">
        <v>7</v>
      </c>
      <c r="AH692" s="4">
        <v>0</v>
      </c>
      <c r="AI692" s="4">
        <v>1</v>
      </c>
      <c r="AJ692" s="4">
        <v>0</v>
      </c>
      <c r="AK692" s="4">
        <v>8</v>
      </c>
      <c r="AL692" s="4">
        <v>0</v>
      </c>
      <c r="AM692" s="4">
        <v>3</v>
      </c>
      <c r="AN692" s="4">
        <v>0</v>
      </c>
      <c r="AO692" s="4">
        <v>0</v>
      </c>
      <c r="AP692" s="3" t="s">
        <v>58</v>
      </c>
      <c r="AQ692" s="3" t="s">
        <v>58</v>
      </c>
      <c r="AS692" s="6" t="str">
        <f>HYPERLINK("https://creighton-primo.hosted.exlibrisgroup.com/primo-explore/search?tab=default_tab&amp;search_scope=EVERYTHING&amp;vid=01CRU&amp;lang=en_US&amp;offset=0&amp;query=any,contains,991001737179702656","Catalog Record")</f>
        <v>Catalog Record</v>
      </c>
      <c r="AT692" s="6" t="str">
        <f>HYPERLINK("http://www.worldcat.org/oclc/61424876","WorldCat Record")</f>
        <v>WorldCat Record</v>
      </c>
    </row>
    <row r="693" spans="1:46" ht="40.5" customHeight="1" x14ac:dyDescent="0.25">
      <c r="A693" s="8" t="s">
        <v>58</v>
      </c>
      <c r="B693" s="2" t="s">
        <v>4810</v>
      </c>
      <c r="C693" s="2" t="s">
        <v>4811</v>
      </c>
      <c r="D693" s="2" t="s">
        <v>4812</v>
      </c>
      <c r="F693" s="3" t="s">
        <v>58</v>
      </c>
      <c r="G693" s="3" t="s">
        <v>59</v>
      </c>
      <c r="H693" s="3" t="s">
        <v>58</v>
      </c>
      <c r="I693" s="3" t="s">
        <v>58</v>
      </c>
      <c r="J693" s="3" t="s">
        <v>60</v>
      </c>
      <c r="K693" s="2" t="s">
        <v>1519</v>
      </c>
      <c r="L693" s="2" t="s">
        <v>4813</v>
      </c>
      <c r="M693" s="3" t="s">
        <v>290</v>
      </c>
      <c r="O693" s="3" t="s">
        <v>64</v>
      </c>
      <c r="P693" s="3" t="s">
        <v>1355</v>
      </c>
      <c r="R693" s="3" t="s">
        <v>1346</v>
      </c>
      <c r="S693" s="4">
        <v>6</v>
      </c>
      <c r="T693" s="4">
        <v>6</v>
      </c>
      <c r="U693" s="5" t="s">
        <v>4814</v>
      </c>
      <c r="V693" s="5" t="s">
        <v>4814</v>
      </c>
      <c r="W693" s="5" t="s">
        <v>4815</v>
      </c>
      <c r="X693" s="5" t="s">
        <v>4815</v>
      </c>
      <c r="Y693" s="4">
        <v>113</v>
      </c>
      <c r="Z693" s="4">
        <v>101</v>
      </c>
      <c r="AA693" s="4">
        <v>764</v>
      </c>
      <c r="AB693" s="4">
        <v>2</v>
      </c>
      <c r="AC693" s="4">
        <v>3</v>
      </c>
      <c r="AD693" s="4">
        <v>1</v>
      </c>
      <c r="AE693" s="4">
        <v>18</v>
      </c>
      <c r="AF693" s="4">
        <v>1</v>
      </c>
      <c r="AG693" s="4">
        <v>9</v>
      </c>
      <c r="AH693" s="4">
        <v>0</v>
      </c>
      <c r="AI693" s="4">
        <v>3</v>
      </c>
      <c r="AJ693" s="4">
        <v>0</v>
      </c>
      <c r="AK693" s="4">
        <v>8</v>
      </c>
      <c r="AL693" s="4">
        <v>0</v>
      </c>
      <c r="AM693" s="4">
        <v>1</v>
      </c>
      <c r="AN693" s="4">
        <v>0</v>
      </c>
      <c r="AO693" s="4">
        <v>0</v>
      </c>
      <c r="AP693" s="3" t="s">
        <v>58</v>
      </c>
      <c r="AQ693" s="3" t="s">
        <v>58</v>
      </c>
      <c r="AS693" s="6" t="str">
        <f>HYPERLINK("https://creighton-primo.hosted.exlibrisgroup.com/primo-explore/search?tab=default_tab&amp;search_scope=EVERYTHING&amp;vid=01CRU&amp;lang=en_US&amp;offset=0&amp;query=any,contains,991001313139702656","Catalog Record")</f>
        <v>Catalog Record</v>
      </c>
      <c r="AT693" s="6" t="str">
        <f>HYPERLINK("http://www.worldcat.org/oclc/17201041","WorldCat Record")</f>
        <v>WorldCat Record</v>
      </c>
    </row>
    <row r="694" spans="1:46" ht="40.5" customHeight="1" x14ac:dyDescent="0.25">
      <c r="A694" s="8" t="s">
        <v>58</v>
      </c>
      <c r="B694" s="2" t="s">
        <v>4816</v>
      </c>
      <c r="C694" s="2" t="s">
        <v>4817</v>
      </c>
      <c r="D694" s="2" t="s">
        <v>4818</v>
      </c>
      <c r="F694" s="3" t="s">
        <v>58</v>
      </c>
      <c r="G694" s="3" t="s">
        <v>59</v>
      </c>
      <c r="H694" s="3" t="s">
        <v>58</v>
      </c>
      <c r="I694" s="3" t="s">
        <v>58</v>
      </c>
      <c r="J694" s="3" t="s">
        <v>60</v>
      </c>
      <c r="K694" s="2" t="s">
        <v>4819</v>
      </c>
      <c r="L694" s="2" t="s">
        <v>2542</v>
      </c>
      <c r="M694" s="3" t="s">
        <v>290</v>
      </c>
      <c r="N694" s="2" t="s">
        <v>143</v>
      </c>
      <c r="O694" s="3" t="s">
        <v>64</v>
      </c>
      <c r="P694" s="3" t="s">
        <v>1355</v>
      </c>
      <c r="R694" s="3" t="s">
        <v>1346</v>
      </c>
      <c r="S694" s="4">
        <v>12</v>
      </c>
      <c r="T694" s="4">
        <v>12</v>
      </c>
      <c r="U694" s="5" t="s">
        <v>4820</v>
      </c>
      <c r="V694" s="5" t="s">
        <v>4820</v>
      </c>
      <c r="W694" s="5" t="s">
        <v>4821</v>
      </c>
      <c r="X694" s="5" t="s">
        <v>4821</v>
      </c>
      <c r="Y694" s="4">
        <v>101</v>
      </c>
      <c r="Z694" s="4">
        <v>80</v>
      </c>
      <c r="AA694" s="4">
        <v>124</v>
      </c>
      <c r="AB694" s="4">
        <v>1</v>
      </c>
      <c r="AC694" s="4">
        <v>1</v>
      </c>
      <c r="AD694" s="4">
        <v>0</v>
      </c>
      <c r="AE694" s="4">
        <v>2</v>
      </c>
      <c r="AF694" s="4">
        <v>0</v>
      </c>
      <c r="AG694" s="4">
        <v>1</v>
      </c>
      <c r="AH694" s="4">
        <v>0</v>
      </c>
      <c r="AI694" s="4">
        <v>0</v>
      </c>
      <c r="AJ694" s="4">
        <v>0</v>
      </c>
      <c r="AK694" s="4">
        <v>2</v>
      </c>
      <c r="AL694" s="4">
        <v>0</v>
      </c>
      <c r="AM694" s="4">
        <v>0</v>
      </c>
      <c r="AN694" s="4">
        <v>0</v>
      </c>
      <c r="AO694" s="4">
        <v>0</v>
      </c>
      <c r="AP694" s="3" t="s">
        <v>58</v>
      </c>
      <c r="AQ694" s="3" t="s">
        <v>115</v>
      </c>
      <c r="AR694" s="6" t="str">
        <f>HYPERLINK("http://catalog.hathitrust.org/Record/001298407","HathiTrust Record")</f>
        <v>HathiTrust Record</v>
      </c>
      <c r="AS694" s="6" t="str">
        <f>HYPERLINK("https://creighton-primo.hosted.exlibrisgroup.com/primo-explore/search?tab=default_tab&amp;search_scope=EVERYTHING&amp;vid=01CRU&amp;lang=en_US&amp;offset=0&amp;query=any,contains,991001419079702656","Catalog Record")</f>
        <v>Catalog Record</v>
      </c>
      <c r="AT694" s="6" t="str">
        <f>HYPERLINK("http://www.worldcat.org/oclc/16525315","WorldCat Record")</f>
        <v>WorldCat Record</v>
      </c>
    </row>
    <row r="695" spans="1:46" ht="40.5" customHeight="1" x14ac:dyDescent="0.25">
      <c r="A695" s="8" t="s">
        <v>58</v>
      </c>
      <c r="B695" s="2" t="s">
        <v>4822</v>
      </c>
      <c r="C695" s="2" t="s">
        <v>4823</v>
      </c>
      <c r="D695" s="2" t="s">
        <v>4824</v>
      </c>
      <c r="F695" s="3" t="s">
        <v>58</v>
      </c>
      <c r="G695" s="3" t="s">
        <v>59</v>
      </c>
      <c r="H695" s="3" t="s">
        <v>58</v>
      </c>
      <c r="I695" s="3" t="s">
        <v>115</v>
      </c>
      <c r="J695" s="3" t="s">
        <v>60</v>
      </c>
      <c r="L695" s="2" t="s">
        <v>4825</v>
      </c>
      <c r="M695" s="3" t="s">
        <v>1177</v>
      </c>
      <c r="N695" s="2" t="s">
        <v>221</v>
      </c>
      <c r="O695" s="3" t="s">
        <v>64</v>
      </c>
      <c r="P695" s="3" t="s">
        <v>1355</v>
      </c>
      <c r="R695" s="3" t="s">
        <v>1346</v>
      </c>
      <c r="S695" s="4">
        <v>10</v>
      </c>
      <c r="T695" s="4">
        <v>10</v>
      </c>
      <c r="U695" s="5" t="s">
        <v>4826</v>
      </c>
      <c r="V695" s="5" t="s">
        <v>4826</v>
      </c>
      <c r="W695" s="5" t="s">
        <v>2278</v>
      </c>
      <c r="X695" s="5" t="s">
        <v>2278</v>
      </c>
      <c r="Y695" s="4">
        <v>72</v>
      </c>
      <c r="Z695" s="4">
        <v>55</v>
      </c>
      <c r="AA695" s="4">
        <v>578</v>
      </c>
      <c r="AB695" s="4">
        <v>2</v>
      </c>
      <c r="AC695" s="4">
        <v>3</v>
      </c>
      <c r="AD695" s="4">
        <v>0</v>
      </c>
      <c r="AE695" s="4">
        <v>11</v>
      </c>
      <c r="AF695" s="4">
        <v>0</v>
      </c>
      <c r="AG695" s="4">
        <v>7</v>
      </c>
      <c r="AH695" s="4">
        <v>0</v>
      </c>
      <c r="AI695" s="4">
        <v>2</v>
      </c>
      <c r="AJ695" s="4">
        <v>0</v>
      </c>
      <c r="AK695" s="4">
        <v>3</v>
      </c>
      <c r="AL695" s="4">
        <v>0</v>
      </c>
      <c r="AM695" s="4">
        <v>1</v>
      </c>
      <c r="AN695" s="4">
        <v>0</v>
      </c>
      <c r="AO695" s="4">
        <v>0</v>
      </c>
      <c r="AP695" s="3" t="s">
        <v>58</v>
      </c>
      <c r="AQ695" s="3" t="s">
        <v>115</v>
      </c>
      <c r="AR695" s="6" t="str">
        <f>HYPERLINK("http://catalog.hathitrust.org/Record/000839525","HathiTrust Record")</f>
        <v>HathiTrust Record</v>
      </c>
      <c r="AS695" s="6" t="str">
        <f>HYPERLINK("https://creighton-primo.hosted.exlibrisgroup.com/primo-explore/search?tab=default_tab&amp;search_scope=EVERYTHING&amp;vid=01CRU&amp;lang=en_US&amp;offset=0&amp;query=any,contains,991001527989702656","Catalog Record")</f>
        <v>Catalog Record</v>
      </c>
      <c r="AT695" s="6" t="str">
        <f>HYPERLINK("http://www.worldcat.org/oclc/14691947","WorldCat Record")</f>
        <v>WorldCat Record</v>
      </c>
    </row>
    <row r="696" spans="1:46" ht="40.5" customHeight="1" x14ac:dyDescent="0.25">
      <c r="A696" s="8" t="s">
        <v>58</v>
      </c>
      <c r="B696" s="2" t="s">
        <v>4827</v>
      </c>
      <c r="C696" s="2" t="s">
        <v>4828</v>
      </c>
      <c r="D696" s="2" t="s">
        <v>4829</v>
      </c>
      <c r="F696" s="3" t="s">
        <v>58</v>
      </c>
      <c r="G696" s="3" t="s">
        <v>59</v>
      </c>
      <c r="H696" s="3" t="s">
        <v>58</v>
      </c>
      <c r="I696" s="3" t="s">
        <v>58</v>
      </c>
      <c r="J696" s="3" t="s">
        <v>60</v>
      </c>
      <c r="L696" s="2" t="s">
        <v>4830</v>
      </c>
      <c r="M696" s="3" t="s">
        <v>1511</v>
      </c>
      <c r="O696" s="3" t="s">
        <v>64</v>
      </c>
      <c r="P696" s="3" t="s">
        <v>112</v>
      </c>
      <c r="R696" s="3" t="s">
        <v>1346</v>
      </c>
      <c r="S696" s="4">
        <v>16</v>
      </c>
      <c r="T696" s="4">
        <v>16</v>
      </c>
      <c r="U696" s="5" t="s">
        <v>3928</v>
      </c>
      <c r="V696" s="5" t="s">
        <v>3928</v>
      </c>
      <c r="W696" s="5" t="s">
        <v>4831</v>
      </c>
      <c r="X696" s="5" t="s">
        <v>4831</v>
      </c>
      <c r="Y696" s="4">
        <v>113</v>
      </c>
      <c r="Z696" s="4">
        <v>65</v>
      </c>
      <c r="AA696" s="4">
        <v>67</v>
      </c>
      <c r="AB696" s="4">
        <v>1</v>
      </c>
      <c r="AC696" s="4">
        <v>1</v>
      </c>
      <c r="AD696" s="4">
        <v>2</v>
      </c>
      <c r="AE696" s="4">
        <v>2</v>
      </c>
      <c r="AF696" s="4">
        <v>0</v>
      </c>
      <c r="AG696" s="4">
        <v>0</v>
      </c>
      <c r="AH696" s="4">
        <v>1</v>
      </c>
      <c r="AI696" s="4">
        <v>1</v>
      </c>
      <c r="AJ696" s="4">
        <v>1</v>
      </c>
      <c r="AK696" s="4">
        <v>1</v>
      </c>
      <c r="AL696" s="4">
        <v>0</v>
      </c>
      <c r="AM696" s="4">
        <v>0</v>
      </c>
      <c r="AN696" s="4">
        <v>0</v>
      </c>
      <c r="AO696" s="4">
        <v>0</v>
      </c>
      <c r="AP696" s="3" t="s">
        <v>58</v>
      </c>
      <c r="AQ696" s="3" t="s">
        <v>115</v>
      </c>
      <c r="AR696" s="6" t="str">
        <f>HYPERLINK("http://catalog.hathitrust.org/Record/001836274","HathiTrust Record")</f>
        <v>HathiTrust Record</v>
      </c>
      <c r="AS696" s="6" t="str">
        <f>HYPERLINK("https://creighton-primo.hosted.exlibrisgroup.com/primo-explore/search?tab=default_tab&amp;search_scope=EVERYTHING&amp;vid=01CRU&amp;lang=en_US&amp;offset=0&amp;query=any,contains,991001447699702656","Catalog Record")</f>
        <v>Catalog Record</v>
      </c>
      <c r="AT696" s="6" t="str">
        <f>HYPERLINK("http://www.worldcat.org/oclc/19815352","WorldCat Record")</f>
        <v>WorldCat Record</v>
      </c>
    </row>
    <row r="697" spans="1:46" ht="40.5" customHeight="1" x14ac:dyDescent="0.25">
      <c r="A697" s="8" t="s">
        <v>58</v>
      </c>
      <c r="B697" s="2" t="s">
        <v>4832</v>
      </c>
      <c r="C697" s="2" t="s">
        <v>4833</v>
      </c>
      <c r="D697" s="2" t="s">
        <v>4834</v>
      </c>
      <c r="F697" s="3" t="s">
        <v>58</v>
      </c>
      <c r="G697" s="3" t="s">
        <v>59</v>
      </c>
      <c r="H697" s="3" t="s">
        <v>58</v>
      </c>
      <c r="I697" s="3" t="s">
        <v>58</v>
      </c>
      <c r="J697" s="3" t="s">
        <v>60</v>
      </c>
      <c r="K697" s="2" t="s">
        <v>4835</v>
      </c>
      <c r="L697" s="2" t="s">
        <v>4836</v>
      </c>
      <c r="M697" s="3" t="s">
        <v>235</v>
      </c>
      <c r="O697" s="3" t="s">
        <v>64</v>
      </c>
      <c r="P697" s="3" t="s">
        <v>96</v>
      </c>
      <c r="R697" s="3" t="s">
        <v>1346</v>
      </c>
      <c r="S697" s="4">
        <v>9</v>
      </c>
      <c r="T697" s="4">
        <v>9</v>
      </c>
      <c r="U697" s="5" t="s">
        <v>4837</v>
      </c>
      <c r="V697" s="5" t="s">
        <v>4837</v>
      </c>
      <c r="W697" s="5" t="s">
        <v>2380</v>
      </c>
      <c r="X697" s="5" t="s">
        <v>2380</v>
      </c>
      <c r="Y697" s="4">
        <v>121</v>
      </c>
      <c r="Z697" s="4">
        <v>114</v>
      </c>
      <c r="AA697" s="4">
        <v>187</v>
      </c>
      <c r="AB697" s="4">
        <v>1</v>
      </c>
      <c r="AC697" s="4">
        <v>2</v>
      </c>
      <c r="AD697" s="4">
        <v>3</v>
      </c>
      <c r="AE697" s="4">
        <v>5</v>
      </c>
      <c r="AF697" s="4">
        <v>1</v>
      </c>
      <c r="AG697" s="4">
        <v>3</v>
      </c>
      <c r="AH697" s="4">
        <v>1</v>
      </c>
      <c r="AI697" s="4">
        <v>1</v>
      </c>
      <c r="AJ697" s="4">
        <v>1</v>
      </c>
      <c r="AK697" s="4">
        <v>3</v>
      </c>
      <c r="AL697" s="4">
        <v>0</v>
      </c>
      <c r="AM697" s="4">
        <v>0</v>
      </c>
      <c r="AN697" s="4">
        <v>0</v>
      </c>
      <c r="AO697" s="4">
        <v>0</v>
      </c>
      <c r="AP697" s="3" t="s">
        <v>58</v>
      </c>
      <c r="AQ697" s="3" t="s">
        <v>58</v>
      </c>
      <c r="AS697" s="6" t="str">
        <f>HYPERLINK("https://creighton-primo.hosted.exlibrisgroup.com/primo-explore/search?tab=default_tab&amp;search_scope=EVERYTHING&amp;vid=01CRU&amp;lang=en_US&amp;offset=0&amp;query=any,contains,991001282179702656","Catalog Record")</f>
        <v>Catalog Record</v>
      </c>
      <c r="AT697" s="6" t="str">
        <f>HYPERLINK("http://www.worldcat.org/oclc/5513214","WorldCat Record")</f>
        <v>WorldCat Record</v>
      </c>
    </row>
    <row r="698" spans="1:46" ht="40.5" customHeight="1" x14ac:dyDescent="0.25">
      <c r="A698" s="8" t="s">
        <v>58</v>
      </c>
      <c r="B698" s="2" t="s">
        <v>4838</v>
      </c>
      <c r="C698" s="2" t="s">
        <v>4839</v>
      </c>
      <c r="D698" s="2" t="s">
        <v>4840</v>
      </c>
      <c r="F698" s="3" t="s">
        <v>58</v>
      </c>
      <c r="G698" s="3" t="s">
        <v>59</v>
      </c>
      <c r="H698" s="3" t="s">
        <v>58</v>
      </c>
      <c r="I698" s="3" t="s">
        <v>115</v>
      </c>
      <c r="J698" s="3" t="s">
        <v>60</v>
      </c>
      <c r="K698" s="2" t="s">
        <v>4841</v>
      </c>
      <c r="L698" s="2" t="s">
        <v>1688</v>
      </c>
      <c r="M698" s="3" t="s">
        <v>1122</v>
      </c>
      <c r="N698" s="2" t="s">
        <v>936</v>
      </c>
      <c r="O698" s="3" t="s">
        <v>64</v>
      </c>
      <c r="P698" s="3" t="s">
        <v>1355</v>
      </c>
      <c r="R698" s="3" t="s">
        <v>1346</v>
      </c>
      <c r="S698" s="4">
        <v>9</v>
      </c>
      <c r="T698" s="4">
        <v>9</v>
      </c>
      <c r="U698" s="5" t="s">
        <v>4837</v>
      </c>
      <c r="V698" s="5" t="s">
        <v>4837</v>
      </c>
      <c r="W698" s="5" t="s">
        <v>3690</v>
      </c>
      <c r="X698" s="5" t="s">
        <v>3690</v>
      </c>
      <c r="Y698" s="4">
        <v>64</v>
      </c>
      <c r="Z698" s="4">
        <v>57</v>
      </c>
      <c r="AA698" s="4">
        <v>700</v>
      </c>
      <c r="AB698" s="4">
        <v>1</v>
      </c>
      <c r="AC698" s="4">
        <v>4</v>
      </c>
      <c r="AD698" s="4">
        <v>1</v>
      </c>
      <c r="AE698" s="4">
        <v>14</v>
      </c>
      <c r="AF698" s="4">
        <v>0</v>
      </c>
      <c r="AG698" s="4">
        <v>6</v>
      </c>
      <c r="AH698" s="4">
        <v>0</v>
      </c>
      <c r="AI698" s="4">
        <v>1</v>
      </c>
      <c r="AJ698" s="4">
        <v>1</v>
      </c>
      <c r="AK698" s="4">
        <v>6</v>
      </c>
      <c r="AL698" s="4">
        <v>0</v>
      </c>
      <c r="AM698" s="4">
        <v>2</v>
      </c>
      <c r="AN698" s="4">
        <v>0</v>
      </c>
      <c r="AO698" s="4">
        <v>0</v>
      </c>
      <c r="AP698" s="3" t="s">
        <v>58</v>
      </c>
      <c r="AQ698" s="3" t="s">
        <v>58</v>
      </c>
      <c r="AS698" s="6" t="str">
        <f>HYPERLINK("https://creighton-primo.hosted.exlibrisgroup.com/primo-explore/search?tab=default_tab&amp;search_scope=EVERYTHING&amp;vid=01CRU&amp;lang=en_US&amp;offset=0&amp;query=any,contains,991000815839702656","Catalog Record")</f>
        <v>Catalog Record</v>
      </c>
      <c r="AT698" s="6" t="str">
        <f>HYPERLINK("http://www.worldcat.org/oclc/20220212","WorldCat Record")</f>
        <v>WorldCat Record</v>
      </c>
    </row>
    <row r="699" spans="1:46" ht="40.5" customHeight="1" x14ac:dyDescent="0.25">
      <c r="A699" s="8" t="s">
        <v>58</v>
      </c>
      <c r="B699" s="2" t="s">
        <v>4842</v>
      </c>
      <c r="C699" s="2" t="s">
        <v>4843</v>
      </c>
      <c r="D699" s="2" t="s">
        <v>4840</v>
      </c>
      <c r="F699" s="3" t="s">
        <v>58</v>
      </c>
      <c r="G699" s="3" t="s">
        <v>59</v>
      </c>
      <c r="H699" s="3" t="s">
        <v>58</v>
      </c>
      <c r="I699" s="3" t="s">
        <v>115</v>
      </c>
      <c r="J699" s="3" t="s">
        <v>60</v>
      </c>
      <c r="K699" s="2" t="s">
        <v>4841</v>
      </c>
      <c r="L699" s="2" t="s">
        <v>4844</v>
      </c>
      <c r="M699" s="3" t="s">
        <v>921</v>
      </c>
      <c r="N699" s="2" t="s">
        <v>1893</v>
      </c>
      <c r="O699" s="3" t="s">
        <v>64</v>
      </c>
      <c r="P699" s="3" t="s">
        <v>3537</v>
      </c>
      <c r="R699" s="3" t="s">
        <v>1346</v>
      </c>
      <c r="S699" s="4">
        <v>0</v>
      </c>
      <c r="T699" s="4">
        <v>0</v>
      </c>
      <c r="U699" s="5" t="s">
        <v>2731</v>
      </c>
      <c r="V699" s="5" t="s">
        <v>2731</v>
      </c>
      <c r="W699" s="5" t="s">
        <v>4809</v>
      </c>
      <c r="X699" s="5" t="s">
        <v>4809</v>
      </c>
      <c r="Y699" s="4">
        <v>201</v>
      </c>
      <c r="Z699" s="4">
        <v>164</v>
      </c>
      <c r="AA699" s="4">
        <v>700</v>
      </c>
      <c r="AB699" s="4">
        <v>1</v>
      </c>
      <c r="AC699" s="4">
        <v>4</v>
      </c>
      <c r="AD699" s="4">
        <v>4</v>
      </c>
      <c r="AE699" s="4">
        <v>14</v>
      </c>
      <c r="AF699" s="4">
        <v>0</v>
      </c>
      <c r="AG699" s="4">
        <v>6</v>
      </c>
      <c r="AH699" s="4">
        <v>1</v>
      </c>
      <c r="AI699" s="4">
        <v>1</v>
      </c>
      <c r="AJ699" s="4">
        <v>3</v>
      </c>
      <c r="AK699" s="4">
        <v>6</v>
      </c>
      <c r="AL699" s="4">
        <v>0</v>
      </c>
      <c r="AM699" s="4">
        <v>2</v>
      </c>
      <c r="AN699" s="4">
        <v>0</v>
      </c>
      <c r="AO699" s="4">
        <v>0</v>
      </c>
      <c r="AP699" s="3" t="s">
        <v>58</v>
      </c>
      <c r="AQ699" s="3" t="s">
        <v>58</v>
      </c>
      <c r="AS699" s="6" t="str">
        <f>HYPERLINK("https://creighton-primo.hosted.exlibrisgroup.com/primo-explore/search?tab=default_tab&amp;search_scope=EVERYTHING&amp;vid=01CRU&amp;lang=en_US&amp;offset=0&amp;query=any,contains,991001743909702656","Catalog Record")</f>
        <v>Catalog Record</v>
      </c>
      <c r="AT699" s="6" t="str">
        <f>HYPERLINK("http://www.worldcat.org/oclc/52041266","WorldCat Record")</f>
        <v>WorldCat Record</v>
      </c>
    </row>
    <row r="700" spans="1:46" ht="40.5" customHeight="1" x14ac:dyDescent="0.25">
      <c r="A700" s="8" t="s">
        <v>58</v>
      </c>
      <c r="B700" s="2" t="s">
        <v>4845</v>
      </c>
      <c r="C700" s="2" t="s">
        <v>4846</v>
      </c>
      <c r="D700" s="2" t="s">
        <v>4847</v>
      </c>
      <c r="F700" s="3" t="s">
        <v>58</v>
      </c>
      <c r="G700" s="3" t="s">
        <v>59</v>
      </c>
      <c r="H700" s="3" t="s">
        <v>58</v>
      </c>
      <c r="I700" s="3" t="s">
        <v>115</v>
      </c>
      <c r="J700" s="3" t="s">
        <v>60</v>
      </c>
      <c r="K700" s="2" t="s">
        <v>4841</v>
      </c>
      <c r="L700" s="2" t="s">
        <v>4848</v>
      </c>
      <c r="M700" s="3" t="s">
        <v>1899</v>
      </c>
      <c r="N700" s="2" t="s">
        <v>1534</v>
      </c>
      <c r="O700" s="3" t="s">
        <v>64</v>
      </c>
      <c r="P700" s="3" t="s">
        <v>65</v>
      </c>
      <c r="R700" s="3" t="s">
        <v>1346</v>
      </c>
      <c r="S700" s="4">
        <v>0</v>
      </c>
      <c r="T700" s="4">
        <v>0</v>
      </c>
      <c r="U700" s="5" t="s">
        <v>4849</v>
      </c>
      <c r="V700" s="5" t="s">
        <v>4849</v>
      </c>
      <c r="W700" s="5" t="s">
        <v>4850</v>
      </c>
      <c r="X700" s="5" t="s">
        <v>4850</v>
      </c>
      <c r="Y700" s="4">
        <v>247</v>
      </c>
      <c r="Z700" s="4">
        <v>212</v>
      </c>
      <c r="AA700" s="4">
        <v>700</v>
      </c>
      <c r="AB700" s="4">
        <v>2</v>
      </c>
      <c r="AC700" s="4">
        <v>4</v>
      </c>
      <c r="AD700" s="4">
        <v>4</v>
      </c>
      <c r="AE700" s="4">
        <v>14</v>
      </c>
      <c r="AF700" s="4">
        <v>2</v>
      </c>
      <c r="AG700" s="4">
        <v>6</v>
      </c>
      <c r="AH700" s="4">
        <v>0</v>
      </c>
      <c r="AI700" s="4">
        <v>1</v>
      </c>
      <c r="AJ700" s="4">
        <v>1</v>
      </c>
      <c r="AK700" s="4">
        <v>6</v>
      </c>
      <c r="AL700" s="4">
        <v>1</v>
      </c>
      <c r="AM700" s="4">
        <v>2</v>
      </c>
      <c r="AN700" s="4">
        <v>0</v>
      </c>
      <c r="AO700" s="4">
        <v>0</v>
      </c>
      <c r="AP700" s="3" t="s">
        <v>58</v>
      </c>
      <c r="AQ700" s="3" t="s">
        <v>58</v>
      </c>
      <c r="AS700" s="6" t="str">
        <f>HYPERLINK("https://creighton-primo.hosted.exlibrisgroup.com/primo-explore/search?tab=default_tab&amp;search_scope=EVERYTHING&amp;vid=01CRU&amp;lang=en_US&amp;offset=0&amp;query=any,contains,991001322359702656","Catalog Record")</f>
        <v>Catalog Record</v>
      </c>
      <c r="AT700" s="6" t="str">
        <f>HYPERLINK("http://www.worldcat.org/oclc/167769589","WorldCat Record")</f>
        <v>WorldCat Record</v>
      </c>
    </row>
    <row r="701" spans="1:46" ht="40.5" customHeight="1" x14ac:dyDescent="0.25">
      <c r="A701" s="8" t="s">
        <v>58</v>
      </c>
      <c r="B701" s="2" t="s">
        <v>4851</v>
      </c>
      <c r="C701" s="2" t="s">
        <v>4852</v>
      </c>
      <c r="D701" s="2" t="s">
        <v>4853</v>
      </c>
      <c r="F701" s="3" t="s">
        <v>58</v>
      </c>
      <c r="G701" s="3" t="s">
        <v>59</v>
      </c>
      <c r="H701" s="3" t="s">
        <v>58</v>
      </c>
      <c r="I701" s="3" t="s">
        <v>58</v>
      </c>
      <c r="J701" s="3" t="s">
        <v>60</v>
      </c>
      <c r="K701" s="2" t="s">
        <v>1938</v>
      </c>
      <c r="L701" s="2" t="s">
        <v>4854</v>
      </c>
      <c r="M701" s="3" t="s">
        <v>380</v>
      </c>
      <c r="N701" s="2" t="s">
        <v>1893</v>
      </c>
      <c r="O701" s="3" t="s">
        <v>64</v>
      </c>
      <c r="P701" s="3" t="s">
        <v>65</v>
      </c>
      <c r="R701" s="3" t="s">
        <v>1346</v>
      </c>
      <c r="S701" s="4">
        <v>4</v>
      </c>
      <c r="T701" s="4">
        <v>4</v>
      </c>
      <c r="U701" s="5" t="s">
        <v>4855</v>
      </c>
      <c r="V701" s="5" t="s">
        <v>4855</v>
      </c>
      <c r="W701" s="5" t="s">
        <v>1778</v>
      </c>
      <c r="X701" s="5" t="s">
        <v>1778</v>
      </c>
      <c r="Y701" s="4">
        <v>126</v>
      </c>
      <c r="Z701" s="4">
        <v>111</v>
      </c>
      <c r="AA701" s="4">
        <v>461</v>
      </c>
      <c r="AB701" s="4">
        <v>2</v>
      </c>
      <c r="AC701" s="4">
        <v>3</v>
      </c>
      <c r="AD701" s="4">
        <v>2</v>
      </c>
      <c r="AE701" s="4">
        <v>9</v>
      </c>
      <c r="AF701" s="4">
        <v>1</v>
      </c>
      <c r="AG701" s="4">
        <v>2</v>
      </c>
      <c r="AH701" s="4">
        <v>1</v>
      </c>
      <c r="AI701" s="4">
        <v>2</v>
      </c>
      <c r="AJ701" s="4">
        <v>1</v>
      </c>
      <c r="AK701" s="4">
        <v>5</v>
      </c>
      <c r="AL701" s="4">
        <v>0</v>
      </c>
      <c r="AM701" s="4">
        <v>1</v>
      </c>
      <c r="AN701" s="4">
        <v>0</v>
      </c>
      <c r="AO701" s="4">
        <v>0</v>
      </c>
      <c r="AP701" s="3" t="s">
        <v>58</v>
      </c>
      <c r="AQ701" s="3" t="s">
        <v>115</v>
      </c>
      <c r="AR701" s="6" t="str">
        <f>HYPERLINK("http://catalog.hathitrust.org/Record/012280356","HathiTrust Record")</f>
        <v>HathiTrust Record</v>
      </c>
      <c r="AS701" s="6" t="str">
        <f>HYPERLINK("https://creighton-primo.hosted.exlibrisgroup.com/primo-explore/search?tab=default_tab&amp;search_scope=EVERYTHING&amp;vid=01CRU&amp;lang=en_US&amp;offset=0&amp;query=any,contains,991001512899702656","Catalog Record")</f>
        <v>Catalog Record</v>
      </c>
      <c r="AT701" s="6" t="str">
        <f>HYPERLINK("http://www.worldcat.org/oclc/25867222","WorldCat Record")</f>
        <v>WorldCat Record</v>
      </c>
    </row>
    <row r="702" spans="1:46" ht="40.5" customHeight="1" x14ac:dyDescent="0.25">
      <c r="A702" s="8" t="s">
        <v>58</v>
      </c>
      <c r="B702" s="2" t="s">
        <v>4856</v>
      </c>
      <c r="C702" s="2" t="s">
        <v>4857</v>
      </c>
      <c r="D702" s="2" t="s">
        <v>4858</v>
      </c>
      <c r="F702" s="3" t="s">
        <v>58</v>
      </c>
      <c r="G702" s="3" t="s">
        <v>59</v>
      </c>
      <c r="H702" s="3" t="s">
        <v>58</v>
      </c>
      <c r="I702" s="3" t="s">
        <v>58</v>
      </c>
      <c r="J702" s="3" t="s">
        <v>60</v>
      </c>
      <c r="K702" s="2" t="s">
        <v>4859</v>
      </c>
      <c r="L702" s="2" t="s">
        <v>4860</v>
      </c>
      <c r="M702" s="3" t="s">
        <v>3314</v>
      </c>
      <c r="N702" s="2" t="s">
        <v>1675</v>
      </c>
      <c r="O702" s="3" t="s">
        <v>64</v>
      </c>
      <c r="P702" s="3" t="s">
        <v>265</v>
      </c>
      <c r="R702" s="3" t="s">
        <v>1346</v>
      </c>
      <c r="S702" s="4">
        <v>7</v>
      </c>
      <c r="T702" s="4">
        <v>7</v>
      </c>
      <c r="U702" s="5" t="s">
        <v>4861</v>
      </c>
      <c r="V702" s="5" t="s">
        <v>4861</v>
      </c>
      <c r="W702" s="5" t="s">
        <v>2114</v>
      </c>
      <c r="X702" s="5" t="s">
        <v>2114</v>
      </c>
      <c r="Y702" s="4">
        <v>68</v>
      </c>
      <c r="Z702" s="4">
        <v>56</v>
      </c>
      <c r="AA702" s="4">
        <v>108</v>
      </c>
      <c r="AB702" s="4">
        <v>1</v>
      </c>
      <c r="AC702" s="4">
        <v>2</v>
      </c>
      <c r="AD702" s="4">
        <v>2</v>
      </c>
      <c r="AE702" s="4">
        <v>7</v>
      </c>
      <c r="AF702" s="4">
        <v>1</v>
      </c>
      <c r="AG702" s="4">
        <v>4</v>
      </c>
      <c r="AH702" s="4">
        <v>1</v>
      </c>
      <c r="AI702" s="4">
        <v>2</v>
      </c>
      <c r="AJ702" s="4">
        <v>0</v>
      </c>
      <c r="AK702" s="4">
        <v>1</v>
      </c>
      <c r="AL702" s="4">
        <v>0</v>
      </c>
      <c r="AM702" s="4">
        <v>1</v>
      </c>
      <c r="AN702" s="4">
        <v>0</v>
      </c>
      <c r="AO702" s="4">
        <v>0</v>
      </c>
      <c r="AP702" s="3" t="s">
        <v>58</v>
      </c>
      <c r="AQ702" s="3" t="s">
        <v>115</v>
      </c>
      <c r="AR702" s="6" t="str">
        <f>HYPERLINK("http://catalog.hathitrust.org/Record/001573653","HathiTrust Record")</f>
        <v>HathiTrust Record</v>
      </c>
      <c r="AS702" s="6" t="str">
        <f>HYPERLINK("https://creighton-primo.hosted.exlibrisgroup.com/primo-explore/search?tab=default_tab&amp;search_scope=EVERYTHING&amp;vid=01CRU&amp;lang=en_US&amp;offset=0&amp;query=any,contains,991000992379702656","Catalog Record")</f>
        <v>Catalog Record</v>
      </c>
      <c r="AT702" s="6" t="str">
        <f>HYPERLINK("http://www.worldcat.org/oclc/14591769","WorldCat Record")</f>
        <v>WorldCat Record</v>
      </c>
    </row>
    <row r="703" spans="1:46" ht="40.5" customHeight="1" x14ac:dyDescent="0.25">
      <c r="A703" s="8" t="s">
        <v>58</v>
      </c>
      <c r="B703" s="2" t="s">
        <v>4862</v>
      </c>
      <c r="C703" s="2" t="s">
        <v>4863</v>
      </c>
      <c r="D703" s="2" t="s">
        <v>4864</v>
      </c>
      <c r="F703" s="3" t="s">
        <v>58</v>
      </c>
      <c r="G703" s="3" t="s">
        <v>59</v>
      </c>
      <c r="H703" s="3" t="s">
        <v>58</v>
      </c>
      <c r="I703" s="3" t="s">
        <v>58</v>
      </c>
      <c r="J703" s="3" t="s">
        <v>60</v>
      </c>
      <c r="K703" s="2" t="s">
        <v>4865</v>
      </c>
      <c r="L703" s="2" t="s">
        <v>4866</v>
      </c>
      <c r="M703" s="3" t="s">
        <v>189</v>
      </c>
      <c r="O703" s="3" t="s">
        <v>64</v>
      </c>
      <c r="P703" s="3" t="s">
        <v>613</v>
      </c>
      <c r="R703" s="3" t="s">
        <v>1346</v>
      </c>
      <c r="S703" s="4">
        <v>3</v>
      </c>
      <c r="T703" s="4">
        <v>3</v>
      </c>
      <c r="U703" s="5" t="s">
        <v>4867</v>
      </c>
      <c r="V703" s="5" t="s">
        <v>4867</v>
      </c>
      <c r="W703" s="5" t="s">
        <v>1627</v>
      </c>
      <c r="X703" s="5" t="s">
        <v>1627</v>
      </c>
      <c r="Y703" s="4">
        <v>44</v>
      </c>
      <c r="Z703" s="4">
        <v>42</v>
      </c>
      <c r="AA703" s="4">
        <v>97</v>
      </c>
      <c r="AB703" s="4">
        <v>1</v>
      </c>
      <c r="AC703" s="4">
        <v>2</v>
      </c>
      <c r="AD703" s="4">
        <v>0</v>
      </c>
      <c r="AE703" s="4">
        <v>2</v>
      </c>
      <c r="AF703" s="4">
        <v>0</v>
      </c>
      <c r="AG703" s="4">
        <v>0</v>
      </c>
      <c r="AH703" s="4">
        <v>0</v>
      </c>
      <c r="AI703" s="4">
        <v>0</v>
      </c>
      <c r="AJ703" s="4">
        <v>0</v>
      </c>
      <c r="AK703" s="4">
        <v>2</v>
      </c>
      <c r="AL703" s="4">
        <v>0</v>
      </c>
      <c r="AM703" s="4">
        <v>0</v>
      </c>
      <c r="AN703" s="4">
        <v>0</v>
      </c>
      <c r="AO703" s="4">
        <v>0</v>
      </c>
      <c r="AP703" s="3" t="s">
        <v>58</v>
      </c>
      <c r="AQ703" s="3" t="s">
        <v>58</v>
      </c>
      <c r="AS703" s="6" t="str">
        <f>HYPERLINK("https://creighton-primo.hosted.exlibrisgroup.com/primo-explore/search?tab=default_tab&amp;search_scope=EVERYTHING&amp;vid=01CRU&amp;lang=en_US&amp;offset=0&amp;query=any,contains,991001297989702656","Catalog Record")</f>
        <v>Catalog Record</v>
      </c>
      <c r="AT703" s="6" t="str">
        <f>HYPERLINK("http://www.worldcat.org/oclc/24068479","WorldCat Record")</f>
        <v>WorldCat Record</v>
      </c>
    </row>
    <row r="704" spans="1:46" ht="40.5" customHeight="1" x14ac:dyDescent="0.25">
      <c r="A704" s="8" t="s">
        <v>58</v>
      </c>
      <c r="B704" s="2" t="s">
        <v>4868</v>
      </c>
      <c r="C704" s="2" t="s">
        <v>4869</v>
      </c>
      <c r="D704" s="2" t="s">
        <v>4870</v>
      </c>
      <c r="F704" s="3" t="s">
        <v>58</v>
      </c>
      <c r="G704" s="3" t="s">
        <v>59</v>
      </c>
      <c r="H704" s="3" t="s">
        <v>58</v>
      </c>
      <c r="I704" s="3" t="s">
        <v>58</v>
      </c>
      <c r="J704" s="3" t="s">
        <v>60</v>
      </c>
      <c r="K704" s="2" t="s">
        <v>4871</v>
      </c>
      <c r="L704" s="2" t="s">
        <v>4872</v>
      </c>
      <c r="M704" s="3" t="s">
        <v>4873</v>
      </c>
      <c r="O704" s="3" t="s">
        <v>64</v>
      </c>
      <c r="P704" s="3" t="s">
        <v>265</v>
      </c>
      <c r="R704" s="3" t="s">
        <v>1346</v>
      </c>
      <c r="S704" s="4">
        <v>2</v>
      </c>
      <c r="T704" s="4">
        <v>2</v>
      </c>
      <c r="U704" s="5" t="s">
        <v>4874</v>
      </c>
      <c r="V704" s="5" t="s">
        <v>4874</v>
      </c>
      <c r="W704" s="5" t="s">
        <v>2335</v>
      </c>
      <c r="X704" s="5" t="s">
        <v>2335</v>
      </c>
      <c r="Y704" s="4">
        <v>44</v>
      </c>
      <c r="Z704" s="4">
        <v>31</v>
      </c>
      <c r="AA704" s="4">
        <v>31</v>
      </c>
      <c r="AB704" s="4">
        <v>1</v>
      </c>
      <c r="AC704" s="4">
        <v>1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0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3" t="s">
        <v>58</v>
      </c>
      <c r="AQ704" s="3" t="s">
        <v>58</v>
      </c>
      <c r="AS704" s="6" t="str">
        <f>HYPERLINK("https://creighton-primo.hosted.exlibrisgroup.com/primo-explore/search?tab=default_tab&amp;search_scope=EVERYTHING&amp;vid=01CRU&amp;lang=en_US&amp;offset=0&amp;query=any,contains,991000992249702656","Catalog Record")</f>
        <v>Catalog Record</v>
      </c>
      <c r="AT704" s="6" t="str">
        <f>HYPERLINK("http://www.worldcat.org/oclc/2406076","WorldCat Record")</f>
        <v>WorldCat Record</v>
      </c>
    </row>
    <row r="705" spans="1:46" ht="40.5" customHeight="1" x14ac:dyDescent="0.25">
      <c r="A705" s="8" t="s">
        <v>58</v>
      </c>
      <c r="B705" s="2" t="s">
        <v>4875</v>
      </c>
      <c r="C705" s="2" t="s">
        <v>4876</v>
      </c>
      <c r="D705" s="2" t="s">
        <v>4877</v>
      </c>
      <c r="F705" s="3" t="s">
        <v>58</v>
      </c>
      <c r="G705" s="3" t="s">
        <v>59</v>
      </c>
      <c r="H705" s="3" t="s">
        <v>58</v>
      </c>
      <c r="I705" s="3" t="s">
        <v>58</v>
      </c>
      <c r="J705" s="3" t="s">
        <v>60</v>
      </c>
      <c r="L705" s="2" t="s">
        <v>4878</v>
      </c>
      <c r="M705" s="3" t="s">
        <v>380</v>
      </c>
      <c r="O705" s="3" t="s">
        <v>64</v>
      </c>
      <c r="P705" s="3" t="s">
        <v>755</v>
      </c>
      <c r="Q705" s="2" t="s">
        <v>4879</v>
      </c>
      <c r="R705" s="3" t="s">
        <v>1346</v>
      </c>
      <c r="S705" s="4">
        <v>9</v>
      </c>
      <c r="T705" s="4">
        <v>9</v>
      </c>
      <c r="U705" s="5" t="s">
        <v>4874</v>
      </c>
      <c r="V705" s="5" t="s">
        <v>4874</v>
      </c>
      <c r="W705" s="5" t="s">
        <v>4880</v>
      </c>
      <c r="X705" s="5" t="s">
        <v>4880</v>
      </c>
      <c r="Y705" s="4">
        <v>441</v>
      </c>
      <c r="Z705" s="4">
        <v>359</v>
      </c>
      <c r="AA705" s="4">
        <v>416</v>
      </c>
      <c r="AB705" s="4">
        <v>5</v>
      </c>
      <c r="AC705" s="4">
        <v>5</v>
      </c>
      <c r="AD705" s="4">
        <v>14</v>
      </c>
      <c r="AE705" s="4">
        <v>15</v>
      </c>
      <c r="AF705" s="4">
        <v>2</v>
      </c>
      <c r="AG705" s="4">
        <v>3</v>
      </c>
      <c r="AH705" s="4">
        <v>4</v>
      </c>
      <c r="AI705" s="4">
        <v>4</v>
      </c>
      <c r="AJ705" s="4">
        <v>5</v>
      </c>
      <c r="AK705" s="4">
        <v>6</v>
      </c>
      <c r="AL705" s="4">
        <v>4</v>
      </c>
      <c r="AM705" s="4">
        <v>4</v>
      </c>
      <c r="AN705" s="4">
        <v>0</v>
      </c>
      <c r="AO705" s="4">
        <v>0</v>
      </c>
      <c r="AP705" s="3" t="s">
        <v>58</v>
      </c>
      <c r="AQ705" s="3" t="s">
        <v>115</v>
      </c>
      <c r="AR705" s="6" t="str">
        <f>HYPERLINK("http://catalog.hathitrust.org/Record/002716584","HathiTrust Record")</f>
        <v>HathiTrust Record</v>
      </c>
      <c r="AS705" s="6" t="str">
        <f>HYPERLINK("https://creighton-primo.hosted.exlibrisgroup.com/primo-explore/search?tab=default_tab&amp;search_scope=EVERYTHING&amp;vid=01CRU&amp;lang=en_US&amp;offset=0&amp;query=any,contains,991001161429702656","Catalog Record")</f>
        <v>Catalog Record</v>
      </c>
      <c r="AT705" s="6" t="str">
        <f>HYPERLINK("http://www.worldcat.org/oclc/28291173","WorldCat Record")</f>
        <v>WorldCat Record</v>
      </c>
    </row>
    <row r="706" spans="1:46" ht="40.5" customHeight="1" x14ac:dyDescent="0.25">
      <c r="A706" s="8" t="s">
        <v>58</v>
      </c>
      <c r="B706" s="2" t="s">
        <v>4881</v>
      </c>
      <c r="C706" s="2" t="s">
        <v>4882</v>
      </c>
      <c r="D706" s="2" t="s">
        <v>4883</v>
      </c>
      <c r="F706" s="3" t="s">
        <v>58</v>
      </c>
      <c r="G706" s="3" t="s">
        <v>59</v>
      </c>
      <c r="H706" s="3" t="s">
        <v>58</v>
      </c>
      <c r="I706" s="3" t="s">
        <v>58</v>
      </c>
      <c r="J706" s="3" t="s">
        <v>60</v>
      </c>
      <c r="K706" s="2" t="s">
        <v>4884</v>
      </c>
      <c r="L706" s="2" t="s">
        <v>4885</v>
      </c>
      <c r="M706" s="3" t="s">
        <v>159</v>
      </c>
      <c r="O706" s="3" t="s">
        <v>64</v>
      </c>
      <c r="P706" s="3" t="s">
        <v>65</v>
      </c>
      <c r="R706" s="3" t="s">
        <v>1346</v>
      </c>
      <c r="S706" s="4">
        <v>6</v>
      </c>
      <c r="T706" s="4">
        <v>6</v>
      </c>
      <c r="U706" s="5" t="s">
        <v>4886</v>
      </c>
      <c r="V706" s="5" t="s">
        <v>4886</v>
      </c>
      <c r="W706" s="5" t="s">
        <v>2114</v>
      </c>
      <c r="X706" s="5" t="s">
        <v>2114</v>
      </c>
      <c r="Y706" s="4">
        <v>81</v>
      </c>
      <c r="Z706" s="4">
        <v>48</v>
      </c>
      <c r="AA706" s="4">
        <v>55</v>
      </c>
      <c r="AB706" s="4">
        <v>1</v>
      </c>
      <c r="AC706" s="4">
        <v>1</v>
      </c>
      <c r="AD706" s="4">
        <v>1</v>
      </c>
      <c r="AE706" s="4">
        <v>1</v>
      </c>
      <c r="AF706" s="4">
        <v>1</v>
      </c>
      <c r="AG706" s="4">
        <v>1</v>
      </c>
      <c r="AH706" s="4">
        <v>0</v>
      </c>
      <c r="AI706" s="4">
        <v>0</v>
      </c>
      <c r="AJ706" s="4">
        <v>0</v>
      </c>
      <c r="AK706" s="4">
        <v>0</v>
      </c>
      <c r="AL706" s="4">
        <v>0</v>
      </c>
      <c r="AM706" s="4">
        <v>0</v>
      </c>
      <c r="AN706" s="4">
        <v>0</v>
      </c>
      <c r="AO706" s="4">
        <v>0</v>
      </c>
      <c r="AP706" s="3" t="s">
        <v>58</v>
      </c>
      <c r="AQ706" s="3" t="s">
        <v>115</v>
      </c>
      <c r="AR706" s="6" t="str">
        <f>HYPERLINK("http://catalog.hathitrust.org/Record/001573805","HathiTrust Record")</f>
        <v>HathiTrust Record</v>
      </c>
      <c r="AS706" s="6" t="str">
        <f>HYPERLINK("https://creighton-primo.hosted.exlibrisgroup.com/primo-explore/search?tab=default_tab&amp;search_scope=EVERYTHING&amp;vid=01CRU&amp;lang=en_US&amp;offset=0&amp;query=any,contains,991000992169702656","Catalog Record")</f>
        <v>Catalog Record</v>
      </c>
      <c r="AT706" s="6" t="str">
        <f>HYPERLINK("http://www.worldcat.org/oclc/1824580","WorldCat Record")</f>
        <v>WorldCat Record</v>
      </c>
    </row>
    <row r="707" spans="1:46" ht="40.5" customHeight="1" x14ac:dyDescent="0.25">
      <c r="A707" s="8" t="s">
        <v>58</v>
      </c>
      <c r="B707" s="2" t="s">
        <v>4887</v>
      </c>
      <c r="C707" s="2" t="s">
        <v>4888</v>
      </c>
      <c r="D707" s="2" t="s">
        <v>4889</v>
      </c>
      <c r="F707" s="3" t="s">
        <v>58</v>
      </c>
      <c r="G707" s="3" t="s">
        <v>59</v>
      </c>
      <c r="H707" s="3" t="s">
        <v>58</v>
      </c>
      <c r="I707" s="3" t="s">
        <v>115</v>
      </c>
      <c r="J707" s="3" t="s">
        <v>60</v>
      </c>
      <c r="K707" s="2" t="s">
        <v>4890</v>
      </c>
      <c r="L707" s="2" t="s">
        <v>4891</v>
      </c>
      <c r="M707" s="3" t="s">
        <v>336</v>
      </c>
      <c r="N707" s="2" t="s">
        <v>1534</v>
      </c>
      <c r="O707" s="3" t="s">
        <v>64</v>
      </c>
      <c r="P707" s="3" t="s">
        <v>1355</v>
      </c>
      <c r="R707" s="3" t="s">
        <v>1346</v>
      </c>
      <c r="S707" s="4">
        <v>36</v>
      </c>
      <c r="T707" s="4">
        <v>36</v>
      </c>
      <c r="U707" s="5" t="s">
        <v>4874</v>
      </c>
      <c r="V707" s="5" t="s">
        <v>4874</v>
      </c>
      <c r="W707" s="5" t="s">
        <v>2335</v>
      </c>
      <c r="X707" s="5" t="s">
        <v>2335</v>
      </c>
      <c r="Y707" s="4">
        <v>170</v>
      </c>
      <c r="Z707" s="4">
        <v>117</v>
      </c>
      <c r="AA707" s="4">
        <v>391</v>
      </c>
      <c r="AB707" s="4">
        <v>1</v>
      </c>
      <c r="AC707" s="4">
        <v>3</v>
      </c>
      <c r="AD707" s="4">
        <v>5</v>
      </c>
      <c r="AE707" s="4">
        <v>12</v>
      </c>
      <c r="AF707" s="4">
        <v>2</v>
      </c>
      <c r="AG707" s="4">
        <v>5</v>
      </c>
      <c r="AH707" s="4">
        <v>1</v>
      </c>
      <c r="AI707" s="4">
        <v>3</v>
      </c>
      <c r="AJ707" s="4">
        <v>3</v>
      </c>
      <c r="AK707" s="4">
        <v>5</v>
      </c>
      <c r="AL707" s="4">
        <v>0</v>
      </c>
      <c r="AM707" s="4">
        <v>2</v>
      </c>
      <c r="AN707" s="4">
        <v>0</v>
      </c>
      <c r="AO707" s="4">
        <v>0</v>
      </c>
      <c r="AP707" s="3" t="s">
        <v>58</v>
      </c>
      <c r="AQ707" s="3" t="s">
        <v>115</v>
      </c>
      <c r="AR707" s="6" t="str">
        <f>HYPERLINK("http://catalog.hathitrust.org/Record/000263074","HathiTrust Record")</f>
        <v>HathiTrust Record</v>
      </c>
      <c r="AS707" s="6" t="str">
        <f>HYPERLINK("https://creighton-primo.hosted.exlibrisgroup.com/primo-explore/search?tab=default_tab&amp;search_scope=EVERYTHING&amp;vid=01CRU&amp;lang=en_US&amp;offset=0&amp;query=any,contains,991000992129702656","Catalog Record")</f>
        <v>Catalog Record</v>
      </c>
      <c r="AT707" s="6" t="str">
        <f>HYPERLINK("http://www.worldcat.org/oclc/7555681","WorldCat Record")</f>
        <v>WorldCat Record</v>
      </c>
    </row>
    <row r="708" spans="1:46" ht="40.5" customHeight="1" x14ac:dyDescent="0.25">
      <c r="A708" s="8" t="s">
        <v>58</v>
      </c>
      <c r="B708" s="2" t="s">
        <v>4892</v>
      </c>
      <c r="C708" s="2" t="s">
        <v>4893</v>
      </c>
      <c r="D708" s="2" t="s">
        <v>4894</v>
      </c>
      <c r="F708" s="3" t="s">
        <v>58</v>
      </c>
      <c r="G708" s="3" t="s">
        <v>59</v>
      </c>
      <c r="H708" s="3" t="s">
        <v>58</v>
      </c>
      <c r="I708" s="3" t="s">
        <v>58</v>
      </c>
      <c r="J708" s="3" t="s">
        <v>60</v>
      </c>
      <c r="K708" s="2" t="s">
        <v>4895</v>
      </c>
      <c r="L708" s="2" t="s">
        <v>4896</v>
      </c>
      <c r="M708" s="3" t="s">
        <v>671</v>
      </c>
      <c r="O708" s="3" t="s">
        <v>64</v>
      </c>
      <c r="P708" s="3" t="s">
        <v>112</v>
      </c>
      <c r="R708" s="3" t="s">
        <v>1346</v>
      </c>
      <c r="S708" s="4">
        <v>6</v>
      </c>
      <c r="T708" s="4">
        <v>6</v>
      </c>
      <c r="U708" s="5" t="s">
        <v>4897</v>
      </c>
      <c r="V708" s="5" t="s">
        <v>4897</v>
      </c>
      <c r="W708" s="5" t="s">
        <v>2286</v>
      </c>
      <c r="X708" s="5" t="s">
        <v>2286</v>
      </c>
      <c r="Y708" s="4">
        <v>83</v>
      </c>
      <c r="Z708" s="4">
        <v>16</v>
      </c>
      <c r="AA708" s="4">
        <v>611</v>
      </c>
      <c r="AB708" s="4">
        <v>1</v>
      </c>
      <c r="AC708" s="4">
        <v>9</v>
      </c>
      <c r="AD708" s="4">
        <v>0</v>
      </c>
      <c r="AE708" s="4">
        <v>9</v>
      </c>
      <c r="AF708" s="4">
        <v>0</v>
      </c>
      <c r="AG708" s="4">
        <v>1</v>
      </c>
      <c r="AH708" s="4">
        <v>0</v>
      </c>
      <c r="AI708" s="4">
        <v>1</v>
      </c>
      <c r="AJ708" s="4">
        <v>0</v>
      </c>
      <c r="AK708" s="4">
        <v>2</v>
      </c>
      <c r="AL708" s="4">
        <v>0</v>
      </c>
      <c r="AM708" s="4">
        <v>6</v>
      </c>
      <c r="AN708" s="4">
        <v>0</v>
      </c>
      <c r="AO708" s="4">
        <v>0</v>
      </c>
      <c r="AP708" s="3" t="s">
        <v>58</v>
      </c>
      <c r="AQ708" s="3" t="s">
        <v>58</v>
      </c>
      <c r="AS708" s="6" t="str">
        <f>HYPERLINK("https://creighton-primo.hosted.exlibrisgroup.com/primo-explore/search?tab=default_tab&amp;search_scope=EVERYTHING&amp;vid=01CRU&amp;lang=en_US&amp;offset=0&amp;query=any,contains,991000992009702656","Catalog Record")</f>
        <v>Catalog Record</v>
      </c>
      <c r="AT708" s="6" t="str">
        <f>HYPERLINK("http://www.worldcat.org/oclc/2090997","WorldCat Record")</f>
        <v>WorldCat Record</v>
      </c>
    </row>
    <row r="709" spans="1:46" ht="40.5" customHeight="1" x14ac:dyDescent="0.25">
      <c r="A709" s="8" t="s">
        <v>58</v>
      </c>
      <c r="B709" s="2" t="s">
        <v>4898</v>
      </c>
      <c r="C709" s="2" t="s">
        <v>4899</v>
      </c>
      <c r="D709" s="2" t="s">
        <v>4900</v>
      </c>
      <c r="F709" s="3" t="s">
        <v>58</v>
      </c>
      <c r="G709" s="3" t="s">
        <v>59</v>
      </c>
      <c r="H709" s="3" t="s">
        <v>58</v>
      </c>
      <c r="I709" s="3" t="s">
        <v>58</v>
      </c>
      <c r="J709" s="3" t="s">
        <v>60</v>
      </c>
      <c r="K709" s="2" t="s">
        <v>4901</v>
      </c>
      <c r="L709" s="2" t="s">
        <v>4902</v>
      </c>
      <c r="M709" s="3" t="s">
        <v>2284</v>
      </c>
      <c r="O709" s="3" t="s">
        <v>64</v>
      </c>
      <c r="P709" s="3" t="s">
        <v>291</v>
      </c>
      <c r="R709" s="3" t="s">
        <v>1346</v>
      </c>
      <c r="S709" s="4">
        <v>7</v>
      </c>
      <c r="T709" s="4">
        <v>7</v>
      </c>
      <c r="U709" s="5" t="s">
        <v>4903</v>
      </c>
      <c r="V709" s="5" t="s">
        <v>4903</v>
      </c>
      <c r="W709" s="5" t="s">
        <v>2286</v>
      </c>
      <c r="X709" s="5" t="s">
        <v>2286</v>
      </c>
      <c r="Y709" s="4">
        <v>1158</v>
      </c>
      <c r="Z709" s="4">
        <v>1077</v>
      </c>
      <c r="AA709" s="4">
        <v>1091</v>
      </c>
      <c r="AB709" s="4">
        <v>10</v>
      </c>
      <c r="AC709" s="4">
        <v>10</v>
      </c>
      <c r="AD709" s="4">
        <v>22</v>
      </c>
      <c r="AE709" s="4">
        <v>22</v>
      </c>
      <c r="AF709" s="4">
        <v>8</v>
      </c>
      <c r="AG709" s="4">
        <v>8</v>
      </c>
      <c r="AH709" s="4">
        <v>4</v>
      </c>
      <c r="AI709" s="4">
        <v>4</v>
      </c>
      <c r="AJ709" s="4">
        <v>9</v>
      </c>
      <c r="AK709" s="4">
        <v>9</v>
      </c>
      <c r="AL709" s="4">
        <v>6</v>
      </c>
      <c r="AM709" s="4">
        <v>6</v>
      </c>
      <c r="AN709" s="4">
        <v>0</v>
      </c>
      <c r="AO709" s="4">
        <v>0</v>
      </c>
      <c r="AP709" s="3" t="s">
        <v>58</v>
      </c>
      <c r="AQ709" s="3" t="s">
        <v>115</v>
      </c>
      <c r="AR709" s="6" t="str">
        <f>HYPERLINK("http://catalog.hathitrust.org/Record/001493887","HathiTrust Record")</f>
        <v>HathiTrust Record</v>
      </c>
      <c r="AS709" s="6" t="str">
        <f>HYPERLINK("https://creighton-primo.hosted.exlibrisgroup.com/primo-explore/search?tab=default_tab&amp;search_scope=EVERYTHING&amp;vid=01CRU&amp;lang=en_US&amp;offset=0&amp;query=any,contains,991000992059702656","Catalog Record")</f>
        <v>Catalog Record</v>
      </c>
      <c r="AT709" s="6" t="str">
        <f>HYPERLINK("http://www.worldcat.org/oclc/552260","WorldCat Record")</f>
        <v>WorldCat Record</v>
      </c>
    </row>
    <row r="710" spans="1:46" ht="40.5" customHeight="1" x14ac:dyDescent="0.25">
      <c r="A710" s="8" t="s">
        <v>58</v>
      </c>
      <c r="B710" s="2" t="s">
        <v>4904</v>
      </c>
      <c r="C710" s="2" t="s">
        <v>4905</v>
      </c>
      <c r="D710" s="2" t="s">
        <v>4906</v>
      </c>
      <c r="F710" s="3" t="s">
        <v>58</v>
      </c>
      <c r="G710" s="3" t="s">
        <v>59</v>
      </c>
      <c r="H710" s="3" t="s">
        <v>58</v>
      </c>
      <c r="I710" s="3" t="s">
        <v>58</v>
      </c>
      <c r="J710" s="3" t="s">
        <v>60</v>
      </c>
      <c r="K710" s="2" t="s">
        <v>4907</v>
      </c>
      <c r="L710" s="2" t="s">
        <v>4908</v>
      </c>
      <c r="M710" s="3" t="s">
        <v>63</v>
      </c>
      <c r="N710" s="2" t="s">
        <v>1344</v>
      </c>
      <c r="O710" s="3" t="s">
        <v>64</v>
      </c>
      <c r="P710" s="3" t="s">
        <v>2394</v>
      </c>
      <c r="R710" s="3" t="s">
        <v>1346</v>
      </c>
      <c r="S710" s="4">
        <v>10</v>
      </c>
      <c r="T710" s="4">
        <v>10</v>
      </c>
      <c r="U710" s="5" t="s">
        <v>4909</v>
      </c>
      <c r="V710" s="5" t="s">
        <v>4909</v>
      </c>
      <c r="W710" s="5" t="s">
        <v>2286</v>
      </c>
      <c r="X710" s="5" t="s">
        <v>2286</v>
      </c>
      <c r="Y710" s="4">
        <v>121</v>
      </c>
      <c r="Z710" s="4">
        <v>94</v>
      </c>
      <c r="AA710" s="4">
        <v>598</v>
      </c>
      <c r="AB710" s="4">
        <v>2</v>
      </c>
      <c r="AC710" s="4">
        <v>13</v>
      </c>
      <c r="AD710" s="4">
        <v>5</v>
      </c>
      <c r="AE710" s="4">
        <v>31</v>
      </c>
      <c r="AF710" s="4">
        <v>2</v>
      </c>
      <c r="AG710" s="4">
        <v>8</v>
      </c>
      <c r="AH710" s="4">
        <v>2</v>
      </c>
      <c r="AI710" s="4">
        <v>7</v>
      </c>
      <c r="AJ710" s="4">
        <v>1</v>
      </c>
      <c r="AK710" s="4">
        <v>8</v>
      </c>
      <c r="AL710" s="4">
        <v>1</v>
      </c>
      <c r="AM710" s="4">
        <v>11</v>
      </c>
      <c r="AN710" s="4">
        <v>0</v>
      </c>
      <c r="AO710" s="4">
        <v>1</v>
      </c>
      <c r="AP710" s="3" t="s">
        <v>58</v>
      </c>
      <c r="AQ710" s="3" t="s">
        <v>58</v>
      </c>
      <c r="AS710" s="6" t="str">
        <f>HYPERLINK("https://creighton-primo.hosted.exlibrisgroup.com/primo-explore/search?tab=default_tab&amp;search_scope=EVERYTHING&amp;vid=01CRU&amp;lang=en_US&amp;offset=0&amp;query=any,contains,991000991959702656","Catalog Record")</f>
        <v>Catalog Record</v>
      </c>
      <c r="AT710" s="6" t="str">
        <f>HYPERLINK("http://www.worldcat.org/oclc/824858","WorldCat Record")</f>
        <v>WorldCat Record</v>
      </c>
    </row>
    <row r="711" spans="1:46" ht="40.5" customHeight="1" x14ac:dyDescent="0.25">
      <c r="A711" s="8" t="s">
        <v>58</v>
      </c>
      <c r="B711" s="2" t="s">
        <v>4910</v>
      </c>
      <c r="C711" s="2" t="s">
        <v>4911</v>
      </c>
      <c r="D711" s="2" t="s">
        <v>4912</v>
      </c>
      <c r="F711" s="3" t="s">
        <v>58</v>
      </c>
      <c r="G711" s="3" t="s">
        <v>59</v>
      </c>
      <c r="H711" s="3" t="s">
        <v>58</v>
      </c>
      <c r="I711" s="3" t="s">
        <v>58</v>
      </c>
      <c r="J711" s="3" t="s">
        <v>60</v>
      </c>
      <c r="K711" s="2" t="s">
        <v>4913</v>
      </c>
      <c r="L711" s="2" t="s">
        <v>4914</v>
      </c>
      <c r="M711" s="3" t="s">
        <v>671</v>
      </c>
      <c r="O711" s="3" t="s">
        <v>64</v>
      </c>
      <c r="P711" s="3" t="s">
        <v>190</v>
      </c>
      <c r="R711" s="3" t="s">
        <v>1346</v>
      </c>
      <c r="S711" s="4">
        <v>10</v>
      </c>
      <c r="T711" s="4">
        <v>10</v>
      </c>
      <c r="U711" s="5" t="s">
        <v>4903</v>
      </c>
      <c r="V711" s="5" t="s">
        <v>4903</v>
      </c>
      <c r="W711" s="5" t="s">
        <v>2286</v>
      </c>
      <c r="X711" s="5" t="s">
        <v>2286</v>
      </c>
      <c r="Y711" s="4">
        <v>649</v>
      </c>
      <c r="Z711" s="4">
        <v>555</v>
      </c>
      <c r="AA711" s="4">
        <v>563</v>
      </c>
      <c r="AB711" s="4">
        <v>3</v>
      </c>
      <c r="AC711" s="4">
        <v>3</v>
      </c>
      <c r="AD711" s="4">
        <v>19</v>
      </c>
      <c r="AE711" s="4">
        <v>19</v>
      </c>
      <c r="AF711" s="4">
        <v>8</v>
      </c>
      <c r="AG711" s="4">
        <v>8</v>
      </c>
      <c r="AH711" s="4">
        <v>6</v>
      </c>
      <c r="AI711" s="4">
        <v>6</v>
      </c>
      <c r="AJ711" s="4">
        <v>7</v>
      </c>
      <c r="AK711" s="4">
        <v>7</v>
      </c>
      <c r="AL711" s="4">
        <v>2</v>
      </c>
      <c r="AM711" s="4">
        <v>2</v>
      </c>
      <c r="AN711" s="4">
        <v>0</v>
      </c>
      <c r="AO711" s="4">
        <v>0</v>
      </c>
      <c r="AP711" s="3" t="s">
        <v>58</v>
      </c>
      <c r="AQ711" s="3" t="s">
        <v>58</v>
      </c>
      <c r="AS711" s="6" t="str">
        <f>HYPERLINK("https://creighton-primo.hosted.exlibrisgroup.com/primo-explore/search?tab=default_tab&amp;search_scope=EVERYTHING&amp;vid=01CRU&amp;lang=en_US&amp;offset=0&amp;query=any,contains,991000991929702656","Catalog Record")</f>
        <v>Catalog Record</v>
      </c>
      <c r="AT711" s="6" t="str">
        <f>HYPERLINK("http://www.worldcat.org/oclc/315554","WorldCat Record")</f>
        <v>WorldCat Record</v>
      </c>
    </row>
    <row r="712" spans="1:46" ht="40.5" customHeight="1" x14ac:dyDescent="0.25">
      <c r="A712" s="8" t="s">
        <v>58</v>
      </c>
      <c r="B712" s="2" t="s">
        <v>4915</v>
      </c>
      <c r="C712" s="2" t="s">
        <v>4916</v>
      </c>
      <c r="D712" s="2" t="s">
        <v>4917</v>
      </c>
      <c r="F712" s="3" t="s">
        <v>58</v>
      </c>
      <c r="G712" s="3" t="s">
        <v>59</v>
      </c>
      <c r="H712" s="3" t="s">
        <v>58</v>
      </c>
      <c r="I712" s="3" t="s">
        <v>58</v>
      </c>
      <c r="J712" s="3" t="s">
        <v>60</v>
      </c>
      <c r="K712" s="2" t="s">
        <v>4918</v>
      </c>
      <c r="L712" s="2" t="s">
        <v>4919</v>
      </c>
      <c r="M712" s="3" t="s">
        <v>63</v>
      </c>
      <c r="O712" s="3" t="s">
        <v>64</v>
      </c>
      <c r="P712" s="3" t="s">
        <v>65</v>
      </c>
      <c r="R712" s="3" t="s">
        <v>1346</v>
      </c>
      <c r="S712" s="4">
        <v>15</v>
      </c>
      <c r="T712" s="4">
        <v>15</v>
      </c>
      <c r="U712" s="5" t="s">
        <v>128</v>
      </c>
      <c r="V712" s="5" t="s">
        <v>128</v>
      </c>
      <c r="W712" s="5" t="s">
        <v>2335</v>
      </c>
      <c r="X712" s="5" t="s">
        <v>2335</v>
      </c>
      <c r="Y712" s="4">
        <v>523</v>
      </c>
      <c r="Z712" s="4">
        <v>482</v>
      </c>
      <c r="AA712" s="4">
        <v>511</v>
      </c>
      <c r="AB712" s="4">
        <v>4</v>
      </c>
      <c r="AC712" s="4">
        <v>4</v>
      </c>
      <c r="AD712" s="4">
        <v>12</v>
      </c>
      <c r="AE712" s="4">
        <v>12</v>
      </c>
      <c r="AF712" s="4">
        <v>4</v>
      </c>
      <c r="AG712" s="4">
        <v>4</v>
      </c>
      <c r="AH712" s="4">
        <v>3</v>
      </c>
      <c r="AI712" s="4">
        <v>3</v>
      </c>
      <c r="AJ712" s="4">
        <v>5</v>
      </c>
      <c r="AK712" s="4">
        <v>5</v>
      </c>
      <c r="AL712" s="4">
        <v>2</v>
      </c>
      <c r="AM712" s="4">
        <v>2</v>
      </c>
      <c r="AN712" s="4">
        <v>0</v>
      </c>
      <c r="AO712" s="4">
        <v>0</v>
      </c>
      <c r="AP712" s="3" t="s">
        <v>58</v>
      </c>
      <c r="AQ712" s="3" t="s">
        <v>58</v>
      </c>
      <c r="AS712" s="6" t="str">
        <f>HYPERLINK("https://creighton-primo.hosted.exlibrisgroup.com/primo-explore/search?tab=default_tab&amp;search_scope=EVERYTHING&amp;vid=01CRU&amp;lang=en_US&amp;offset=0&amp;query=any,contains,991000991909702656","Catalog Record")</f>
        <v>Catalog Record</v>
      </c>
      <c r="AT712" s="6" t="str">
        <f>HYPERLINK("http://www.worldcat.org/oclc/711515","WorldCat Record")</f>
        <v>WorldCat Record</v>
      </c>
    </row>
    <row r="713" spans="1:46" ht="40.5" customHeight="1" x14ac:dyDescent="0.25">
      <c r="A713" s="8" t="s">
        <v>58</v>
      </c>
      <c r="B713" s="2" t="s">
        <v>4920</v>
      </c>
      <c r="C713" s="2" t="s">
        <v>4921</v>
      </c>
      <c r="D713" s="2" t="s">
        <v>4922</v>
      </c>
      <c r="F713" s="3" t="s">
        <v>58</v>
      </c>
      <c r="G713" s="3" t="s">
        <v>59</v>
      </c>
      <c r="H713" s="3" t="s">
        <v>58</v>
      </c>
      <c r="I713" s="3" t="s">
        <v>58</v>
      </c>
      <c r="J713" s="3" t="s">
        <v>60</v>
      </c>
      <c r="K713" s="2" t="s">
        <v>4923</v>
      </c>
      <c r="L713" s="2" t="s">
        <v>4924</v>
      </c>
      <c r="M713" s="3" t="s">
        <v>1639</v>
      </c>
      <c r="O713" s="3" t="s">
        <v>64</v>
      </c>
      <c r="P713" s="3" t="s">
        <v>65</v>
      </c>
      <c r="R713" s="3" t="s">
        <v>1346</v>
      </c>
      <c r="S713" s="4">
        <v>13</v>
      </c>
      <c r="T713" s="4">
        <v>13</v>
      </c>
      <c r="U713" s="5" t="s">
        <v>4925</v>
      </c>
      <c r="V713" s="5" t="s">
        <v>4925</v>
      </c>
      <c r="W713" s="5" t="s">
        <v>2286</v>
      </c>
      <c r="X713" s="5" t="s">
        <v>2286</v>
      </c>
      <c r="Y713" s="4">
        <v>361</v>
      </c>
      <c r="Z713" s="4">
        <v>338</v>
      </c>
      <c r="AA713" s="4">
        <v>760</v>
      </c>
      <c r="AB713" s="4">
        <v>2</v>
      </c>
      <c r="AC713" s="4">
        <v>4</v>
      </c>
      <c r="AD713" s="4">
        <v>3</v>
      </c>
      <c r="AE713" s="4">
        <v>5</v>
      </c>
      <c r="AF713" s="4">
        <v>2</v>
      </c>
      <c r="AG713" s="4">
        <v>4</v>
      </c>
      <c r="AH713" s="4">
        <v>0</v>
      </c>
      <c r="AI713" s="4">
        <v>0</v>
      </c>
      <c r="AJ713" s="4">
        <v>0</v>
      </c>
      <c r="AK713" s="4">
        <v>1</v>
      </c>
      <c r="AL713" s="4">
        <v>1</v>
      </c>
      <c r="AM713" s="4">
        <v>1</v>
      </c>
      <c r="AN713" s="4">
        <v>0</v>
      </c>
      <c r="AO713" s="4">
        <v>0</v>
      </c>
      <c r="AP713" s="3" t="s">
        <v>58</v>
      </c>
      <c r="AQ713" s="3" t="s">
        <v>58</v>
      </c>
      <c r="AS713" s="6" t="str">
        <f>HYPERLINK("https://creighton-primo.hosted.exlibrisgroup.com/primo-explore/search?tab=default_tab&amp;search_scope=EVERYTHING&amp;vid=01CRU&amp;lang=en_US&amp;offset=0&amp;query=any,contains,991000991839702656","Catalog Record")</f>
        <v>Catalog Record</v>
      </c>
      <c r="AT713" s="6" t="str">
        <f>HYPERLINK("http://www.worldcat.org/oclc/1183112","WorldCat Record")</f>
        <v>WorldCat Record</v>
      </c>
    </row>
    <row r="714" spans="1:46" ht="40.5" customHeight="1" x14ac:dyDescent="0.25">
      <c r="A714" s="8" t="s">
        <v>58</v>
      </c>
      <c r="B714" s="2" t="s">
        <v>4926</v>
      </c>
      <c r="C714" s="2" t="s">
        <v>4927</v>
      </c>
      <c r="D714" s="2" t="s">
        <v>4928</v>
      </c>
      <c r="F714" s="3" t="s">
        <v>58</v>
      </c>
      <c r="G714" s="3" t="s">
        <v>59</v>
      </c>
      <c r="H714" s="3" t="s">
        <v>58</v>
      </c>
      <c r="I714" s="3" t="s">
        <v>58</v>
      </c>
      <c r="J714" s="3" t="s">
        <v>60</v>
      </c>
      <c r="K714" s="2" t="s">
        <v>4929</v>
      </c>
      <c r="L714" s="2" t="s">
        <v>2251</v>
      </c>
      <c r="M714" s="3" t="s">
        <v>380</v>
      </c>
      <c r="O714" s="3" t="s">
        <v>64</v>
      </c>
      <c r="P714" s="3" t="s">
        <v>1355</v>
      </c>
      <c r="R714" s="3" t="s">
        <v>1346</v>
      </c>
      <c r="S714" s="4">
        <v>48</v>
      </c>
      <c r="T714" s="4">
        <v>48</v>
      </c>
      <c r="U714" s="5" t="s">
        <v>4930</v>
      </c>
      <c r="V714" s="5" t="s">
        <v>4930</v>
      </c>
      <c r="W714" s="5" t="s">
        <v>4931</v>
      </c>
      <c r="X714" s="5" t="s">
        <v>4931</v>
      </c>
      <c r="Y714" s="4">
        <v>214</v>
      </c>
      <c r="Z714" s="4">
        <v>164</v>
      </c>
      <c r="AA714" s="4">
        <v>321</v>
      </c>
      <c r="AB714" s="4">
        <v>2</v>
      </c>
      <c r="AC714" s="4">
        <v>3</v>
      </c>
      <c r="AD714" s="4">
        <v>6</v>
      </c>
      <c r="AE714" s="4">
        <v>13</v>
      </c>
      <c r="AF714" s="4">
        <v>3</v>
      </c>
      <c r="AG714" s="4">
        <v>7</v>
      </c>
      <c r="AH714" s="4">
        <v>1</v>
      </c>
      <c r="AI714" s="4">
        <v>3</v>
      </c>
      <c r="AJ714" s="4">
        <v>3</v>
      </c>
      <c r="AK714" s="4">
        <v>4</v>
      </c>
      <c r="AL714" s="4">
        <v>1</v>
      </c>
      <c r="AM714" s="4">
        <v>2</v>
      </c>
      <c r="AN714" s="4">
        <v>0</v>
      </c>
      <c r="AO714" s="4">
        <v>0</v>
      </c>
      <c r="AP714" s="3" t="s">
        <v>58</v>
      </c>
      <c r="AQ714" s="3" t="s">
        <v>58</v>
      </c>
      <c r="AS714" s="6" t="str">
        <f>HYPERLINK("https://creighton-primo.hosted.exlibrisgroup.com/primo-explore/search?tab=default_tab&amp;search_scope=EVERYTHING&amp;vid=01CRU&amp;lang=en_US&amp;offset=0&amp;query=any,contains,991001509659702656","Catalog Record")</f>
        <v>Catalog Record</v>
      </c>
      <c r="AT714" s="6" t="str">
        <f>HYPERLINK("http://www.worldcat.org/oclc/25509156","WorldCat Record")</f>
        <v>WorldCat Record</v>
      </c>
    </row>
    <row r="715" spans="1:46" ht="40.5" customHeight="1" x14ac:dyDescent="0.25">
      <c r="A715" s="8" t="s">
        <v>58</v>
      </c>
      <c r="B715" s="2" t="s">
        <v>4932</v>
      </c>
      <c r="C715" s="2" t="s">
        <v>4933</v>
      </c>
      <c r="D715" s="2" t="s">
        <v>4934</v>
      </c>
      <c r="F715" s="3" t="s">
        <v>58</v>
      </c>
      <c r="G715" s="3" t="s">
        <v>59</v>
      </c>
      <c r="H715" s="3" t="s">
        <v>58</v>
      </c>
      <c r="I715" s="3" t="s">
        <v>58</v>
      </c>
      <c r="J715" s="3" t="s">
        <v>60</v>
      </c>
      <c r="L715" s="2" t="s">
        <v>4935</v>
      </c>
      <c r="M715" s="3" t="s">
        <v>1177</v>
      </c>
      <c r="O715" s="3" t="s">
        <v>64</v>
      </c>
      <c r="P715" s="3" t="s">
        <v>1355</v>
      </c>
      <c r="Q715" s="2" t="s">
        <v>4936</v>
      </c>
      <c r="R715" s="3" t="s">
        <v>1346</v>
      </c>
      <c r="S715" s="4">
        <v>15</v>
      </c>
      <c r="T715" s="4">
        <v>15</v>
      </c>
      <c r="U715" s="5" t="s">
        <v>4937</v>
      </c>
      <c r="V715" s="5" t="s">
        <v>4937</v>
      </c>
      <c r="W715" s="5" t="s">
        <v>1490</v>
      </c>
      <c r="X715" s="5" t="s">
        <v>1490</v>
      </c>
      <c r="Y715" s="4">
        <v>136</v>
      </c>
      <c r="Z715" s="4">
        <v>93</v>
      </c>
      <c r="AA715" s="4">
        <v>125</v>
      </c>
      <c r="AB715" s="4">
        <v>1</v>
      </c>
      <c r="AC715" s="4">
        <v>1</v>
      </c>
      <c r="AD715" s="4">
        <v>1</v>
      </c>
      <c r="AE715" s="4">
        <v>2</v>
      </c>
      <c r="AF715" s="4">
        <v>0</v>
      </c>
      <c r="AG715" s="4">
        <v>1</v>
      </c>
      <c r="AH715" s="4">
        <v>1</v>
      </c>
      <c r="AI715" s="4">
        <v>1</v>
      </c>
      <c r="AJ715" s="4">
        <v>0</v>
      </c>
      <c r="AK715" s="4">
        <v>1</v>
      </c>
      <c r="AL715" s="4">
        <v>0</v>
      </c>
      <c r="AM715" s="4">
        <v>0</v>
      </c>
      <c r="AN715" s="4">
        <v>0</v>
      </c>
      <c r="AO715" s="4">
        <v>0</v>
      </c>
      <c r="AP715" s="3" t="s">
        <v>58</v>
      </c>
      <c r="AQ715" s="3" t="s">
        <v>115</v>
      </c>
      <c r="AR715" s="6" t="str">
        <f>HYPERLINK("http://catalog.hathitrust.org/Record/000918457","HathiTrust Record")</f>
        <v>HathiTrust Record</v>
      </c>
      <c r="AS715" s="6" t="str">
        <f>HYPERLINK("https://creighton-primo.hosted.exlibrisgroup.com/primo-explore/search?tab=default_tab&amp;search_scope=EVERYTHING&amp;vid=01CRU&amp;lang=en_US&amp;offset=0&amp;query=any,contains,991001422969702656","Catalog Record")</f>
        <v>Catalog Record</v>
      </c>
      <c r="AT715" s="6" t="str">
        <f>HYPERLINK("http://www.worldcat.org/oclc/15860347","WorldCat Record")</f>
        <v>WorldCat Record</v>
      </c>
    </row>
    <row r="716" spans="1:46" ht="40.5" customHeight="1" x14ac:dyDescent="0.25">
      <c r="A716" s="8" t="s">
        <v>58</v>
      </c>
      <c r="B716" s="2" t="s">
        <v>4938</v>
      </c>
      <c r="C716" s="2" t="s">
        <v>4939</v>
      </c>
      <c r="D716" s="2" t="s">
        <v>4940</v>
      </c>
      <c r="F716" s="3" t="s">
        <v>58</v>
      </c>
      <c r="G716" s="3" t="s">
        <v>59</v>
      </c>
      <c r="H716" s="3" t="s">
        <v>58</v>
      </c>
      <c r="I716" s="3" t="s">
        <v>58</v>
      </c>
      <c r="J716" s="3" t="s">
        <v>60</v>
      </c>
      <c r="L716" s="2" t="s">
        <v>4941</v>
      </c>
      <c r="M716" s="3" t="s">
        <v>892</v>
      </c>
      <c r="O716" s="3" t="s">
        <v>64</v>
      </c>
      <c r="P716" s="3" t="s">
        <v>112</v>
      </c>
      <c r="R716" s="3" t="s">
        <v>1346</v>
      </c>
      <c r="S716" s="4">
        <v>4</v>
      </c>
      <c r="T716" s="4">
        <v>4</v>
      </c>
      <c r="U716" s="5" t="s">
        <v>4942</v>
      </c>
      <c r="V716" s="5" t="s">
        <v>4942</v>
      </c>
      <c r="W716" s="5" t="s">
        <v>4943</v>
      </c>
      <c r="X716" s="5" t="s">
        <v>4943</v>
      </c>
      <c r="Y716" s="4">
        <v>121</v>
      </c>
      <c r="Z716" s="4">
        <v>65</v>
      </c>
      <c r="AA716" s="4">
        <v>187</v>
      </c>
      <c r="AB716" s="4">
        <v>1</v>
      </c>
      <c r="AC716" s="4">
        <v>1</v>
      </c>
      <c r="AD716" s="4">
        <v>1</v>
      </c>
      <c r="AE716" s="4">
        <v>4</v>
      </c>
      <c r="AF716" s="4">
        <v>0</v>
      </c>
      <c r="AG716" s="4">
        <v>2</v>
      </c>
      <c r="AH716" s="4">
        <v>0</v>
      </c>
      <c r="AI716" s="4">
        <v>1</v>
      </c>
      <c r="AJ716" s="4">
        <v>1</v>
      </c>
      <c r="AK716" s="4">
        <v>2</v>
      </c>
      <c r="AL716" s="4">
        <v>0</v>
      </c>
      <c r="AM716" s="4">
        <v>0</v>
      </c>
      <c r="AN716" s="4">
        <v>0</v>
      </c>
      <c r="AO716" s="4">
        <v>0</v>
      </c>
      <c r="AP716" s="3" t="s">
        <v>58</v>
      </c>
      <c r="AQ716" s="3" t="s">
        <v>115</v>
      </c>
      <c r="AR716" s="6" t="str">
        <f>HYPERLINK("http://catalog.hathitrust.org/Record/003976527","HathiTrust Record")</f>
        <v>HathiTrust Record</v>
      </c>
      <c r="AS716" s="6" t="str">
        <f>HYPERLINK("https://creighton-primo.hosted.exlibrisgroup.com/primo-explore/search?tab=default_tab&amp;search_scope=EVERYTHING&amp;vid=01CRU&amp;lang=en_US&amp;offset=0&amp;query=any,contains,991000795429702656","Catalog Record")</f>
        <v>Catalog Record</v>
      </c>
      <c r="AT716" s="6" t="str">
        <f>HYPERLINK("http://www.worldcat.org/oclc/37696634","WorldCat Record")</f>
        <v>WorldCat Record</v>
      </c>
    </row>
    <row r="717" spans="1:46" ht="40.5" customHeight="1" x14ac:dyDescent="0.25">
      <c r="A717" s="8" t="s">
        <v>58</v>
      </c>
      <c r="B717" s="2" t="s">
        <v>4944</v>
      </c>
      <c r="C717" s="2" t="s">
        <v>4945</v>
      </c>
      <c r="D717" s="2" t="s">
        <v>4946</v>
      </c>
      <c r="F717" s="3" t="s">
        <v>58</v>
      </c>
      <c r="G717" s="3" t="s">
        <v>59</v>
      </c>
      <c r="H717" s="3" t="s">
        <v>58</v>
      </c>
      <c r="I717" s="3" t="s">
        <v>58</v>
      </c>
      <c r="J717" s="3" t="s">
        <v>60</v>
      </c>
      <c r="L717" s="2" t="s">
        <v>4947</v>
      </c>
      <c r="M717" s="3" t="s">
        <v>2202</v>
      </c>
      <c r="N717" s="2" t="s">
        <v>143</v>
      </c>
      <c r="O717" s="3" t="s">
        <v>64</v>
      </c>
      <c r="P717" s="3" t="s">
        <v>1512</v>
      </c>
      <c r="R717" s="3" t="s">
        <v>1346</v>
      </c>
      <c r="S717" s="4">
        <v>1</v>
      </c>
      <c r="T717" s="4">
        <v>1</v>
      </c>
      <c r="U717" s="5" t="s">
        <v>4948</v>
      </c>
      <c r="V717" s="5" t="s">
        <v>4948</v>
      </c>
      <c r="W717" s="5" t="s">
        <v>4218</v>
      </c>
      <c r="X717" s="5" t="s">
        <v>4218</v>
      </c>
      <c r="Y717" s="4">
        <v>114</v>
      </c>
      <c r="Z717" s="4">
        <v>83</v>
      </c>
      <c r="AA717" s="4">
        <v>139</v>
      </c>
      <c r="AB717" s="4">
        <v>1</v>
      </c>
      <c r="AC717" s="4">
        <v>1</v>
      </c>
      <c r="AD717" s="4">
        <v>2</v>
      </c>
      <c r="AE717" s="4">
        <v>5</v>
      </c>
      <c r="AF717" s="4">
        <v>1</v>
      </c>
      <c r="AG717" s="4">
        <v>3</v>
      </c>
      <c r="AH717" s="4">
        <v>1</v>
      </c>
      <c r="AI717" s="4">
        <v>2</v>
      </c>
      <c r="AJ717" s="4">
        <v>0</v>
      </c>
      <c r="AK717" s="4">
        <v>2</v>
      </c>
      <c r="AL717" s="4">
        <v>0</v>
      </c>
      <c r="AM717" s="4">
        <v>0</v>
      </c>
      <c r="AN717" s="4">
        <v>0</v>
      </c>
      <c r="AO717" s="4">
        <v>0</v>
      </c>
      <c r="AP717" s="3" t="s">
        <v>58</v>
      </c>
      <c r="AQ717" s="3" t="s">
        <v>58</v>
      </c>
      <c r="AS717" s="6" t="str">
        <f>HYPERLINK("https://creighton-primo.hosted.exlibrisgroup.com/primo-explore/search?tab=default_tab&amp;search_scope=EVERYTHING&amp;vid=01CRU&amp;lang=en_US&amp;offset=0&amp;query=any,contains,991000321209702656","Catalog Record")</f>
        <v>Catalog Record</v>
      </c>
      <c r="AT717" s="6" t="str">
        <f>HYPERLINK("http://www.worldcat.org/oclc/43095597","WorldCat Record")</f>
        <v>WorldCat Record</v>
      </c>
    </row>
    <row r="718" spans="1:46" ht="40.5" customHeight="1" x14ac:dyDescent="0.25">
      <c r="A718" s="8" t="s">
        <v>58</v>
      </c>
      <c r="B718" s="2" t="s">
        <v>4949</v>
      </c>
      <c r="C718" s="2" t="s">
        <v>4950</v>
      </c>
      <c r="D718" s="2" t="s">
        <v>4951</v>
      </c>
      <c r="F718" s="3" t="s">
        <v>58</v>
      </c>
      <c r="G718" s="3" t="s">
        <v>59</v>
      </c>
      <c r="H718" s="3" t="s">
        <v>58</v>
      </c>
      <c r="I718" s="3" t="s">
        <v>58</v>
      </c>
      <c r="J718" s="3" t="s">
        <v>60</v>
      </c>
      <c r="L718" s="2" t="s">
        <v>4952</v>
      </c>
      <c r="M718" s="3" t="s">
        <v>173</v>
      </c>
      <c r="O718" s="3" t="s">
        <v>64</v>
      </c>
      <c r="P718" s="3" t="s">
        <v>755</v>
      </c>
      <c r="R718" s="3" t="s">
        <v>1346</v>
      </c>
      <c r="S718" s="4">
        <v>5</v>
      </c>
      <c r="T718" s="4">
        <v>5</v>
      </c>
      <c r="U718" s="5" t="s">
        <v>4953</v>
      </c>
      <c r="V718" s="5" t="s">
        <v>4953</v>
      </c>
      <c r="W718" s="5" t="s">
        <v>4954</v>
      </c>
      <c r="X718" s="5" t="s">
        <v>4954</v>
      </c>
      <c r="Y718" s="4">
        <v>69</v>
      </c>
      <c r="Z718" s="4">
        <v>59</v>
      </c>
      <c r="AA718" s="4">
        <v>70</v>
      </c>
      <c r="AB718" s="4">
        <v>1</v>
      </c>
      <c r="AC718" s="4">
        <v>1</v>
      </c>
      <c r="AD718" s="4">
        <v>2</v>
      </c>
      <c r="AE718" s="4">
        <v>2</v>
      </c>
      <c r="AF718" s="4">
        <v>2</v>
      </c>
      <c r="AG718" s="4">
        <v>2</v>
      </c>
      <c r="AH718" s="4">
        <v>0</v>
      </c>
      <c r="AI718" s="4">
        <v>0</v>
      </c>
      <c r="AJ718" s="4">
        <v>1</v>
      </c>
      <c r="AK718" s="4">
        <v>1</v>
      </c>
      <c r="AL718" s="4">
        <v>0</v>
      </c>
      <c r="AM718" s="4">
        <v>0</v>
      </c>
      <c r="AN718" s="4">
        <v>0</v>
      </c>
      <c r="AO718" s="4">
        <v>0</v>
      </c>
      <c r="AP718" s="3" t="s">
        <v>58</v>
      </c>
      <c r="AQ718" s="3" t="s">
        <v>115</v>
      </c>
      <c r="AR718" s="6" t="str">
        <f>HYPERLINK("http://catalog.hathitrust.org/Record/003039870","HathiTrust Record")</f>
        <v>HathiTrust Record</v>
      </c>
      <c r="AS718" s="6" t="str">
        <f>HYPERLINK("https://creighton-primo.hosted.exlibrisgroup.com/primo-explore/search?tab=default_tab&amp;search_scope=EVERYTHING&amp;vid=01CRU&amp;lang=en_US&amp;offset=0&amp;query=any,contains,991001505549702656","Catalog Record")</f>
        <v>Catalog Record</v>
      </c>
      <c r="AT718" s="6" t="str">
        <f>HYPERLINK("http://www.worldcat.org/oclc/32389235","WorldCat Record")</f>
        <v>WorldCat Record</v>
      </c>
    </row>
    <row r="719" spans="1:46" ht="40.5" customHeight="1" x14ac:dyDescent="0.25">
      <c r="A719" s="8" t="s">
        <v>58</v>
      </c>
      <c r="B719" s="2" t="s">
        <v>4955</v>
      </c>
      <c r="C719" s="2" t="s">
        <v>4956</v>
      </c>
      <c r="D719" s="2" t="s">
        <v>4957</v>
      </c>
      <c r="F719" s="3" t="s">
        <v>58</v>
      </c>
      <c r="G719" s="3" t="s">
        <v>59</v>
      </c>
      <c r="H719" s="3" t="s">
        <v>58</v>
      </c>
      <c r="I719" s="3" t="s">
        <v>58</v>
      </c>
      <c r="J719" s="3" t="s">
        <v>60</v>
      </c>
      <c r="K719" s="2" t="s">
        <v>4958</v>
      </c>
      <c r="L719" s="2" t="s">
        <v>4959</v>
      </c>
      <c r="M719" s="3" t="s">
        <v>306</v>
      </c>
      <c r="N719" s="2" t="s">
        <v>4960</v>
      </c>
      <c r="O719" s="3" t="s">
        <v>64</v>
      </c>
      <c r="P719" s="3" t="s">
        <v>643</v>
      </c>
      <c r="R719" s="3" t="s">
        <v>1346</v>
      </c>
      <c r="S719" s="4">
        <v>2</v>
      </c>
      <c r="T719" s="4">
        <v>2</v>
      </c>
      <c r="U719" s="5" t="s">
        <v>4961</v>
      </c>
      <c r="V719" s="5" t="s">
        <v>4961</v>
      </c>
      <c r="W719" s="5" t="s">
        <v>658</v>
      </c>
      <c r="X719" s="5" t="s">
        <v>658</v>
      </c>
      <c r="Y719" s="4">
        <v>53</v>
      </c>
      <c r="Z719" s="4">
        <v>41</v>
      </c>
      <c r="AA719" s="4">
        <v>188</v>
      </c>
      <c r="AB719" s="4">
        <v>1</v>
      </c>
      <c r="AC719" s="4">
        <v>1</v>
      </c>
      <c r="AD719" s="4">
        <v>1</v>
      </c>
      <c r="AE719" s="4">
        <v>6</v>
      </c>
      <c r="AF719" s="4">
        <v>1</v>
      </c>
      <c r="AG719" s="4">
        <v>1</v>
      </c>
      <c r="AH719" s="4">
        <v>0</v>
      </c>
      <c r="AI719" s="4">
        <v>1</v>
      </c>
      <c r="AJ719" s="4">
        <v>1</v>
      </c>
      <c r="AK719" s="4">
        <v>6</v>
      </c>
      <c r="AL719" s="4">
        <v>0</v>
      </c>
      <c r="AM719" s="4">
        <v>0</v>
      </c>
      <c r="AN719" s="4">
        <v>0</v>
      </c>
      <c r="AO719" s="4">
        <v>0</v>
      </c>
      <c r="AP719" s="3" t="s">
        <v>58</v>
      </c>
      <c r="AQ719" s="3" t="s">
        <v>115</v>
      </c>
      <c r="AR719" s="6" t="str">
        <f>HYPERLINK("http://catalog.hathitrust.org/Record/003120405","HathiTrust Record")</f>
        <v>HathiTrust Record</v>
      </c>
      <c r="AS719" s="6" t="str">
        <f>HYPERLINK("https://creighton-primo.hosted.exlibrisgroup.com/primo-explore/search?tab=default_tab&amp;search_scope=EVERYTHING&amp;vid=01CRU&amp;lang=en_US&amp;offset=0&amp;query=any,contains,991000836119702656","Catalog Record")</f>
        <v>Catalog Record</v>
      </c>
      <c r="AT719" s="6" t="str">
        <f>HYPERLINK("http://www.worldcat.org/oclc/34085231","WorldCat Record")</f>
        <v>WorldCat Record</v>
      </c>
    </row>
    <row r="720" spans="1:46" ht="40.5" customHeight="1" x14ac:dyDescent="0.25">
      <c r="A720" s="8" t="s">
        <v>58</v>
      </c>
      <c r="B720" s="2" t="s">
        <v>4962</v>
      </c>
      <c r="C720" s="2" t="s">
        <v>4963</v>
      </c>
      <c r="D720" s="2" t="s">
        <v>4964</v>
      </c>
      <c r="F720" s="3" t="s">
        <v>58</v>
      </c>
      <c r="G720" s="3" t="s">
        <v>59</v>
      </c>
      <c r="H720" s="3" t="s">
        <v>58</v>
      </c>
      <c r="I720" s="3" t="s">
        <v>58</v>
      </c>
      <c r="J720" s="3" t="s">
        <v>60</v>
      </c>
      <c r="L720" s="2" t="s">
        <v>2251</v>
      </c>
      <c r="M720" s="3" t="s">
        <v>380</v>
      </c>
      <c r="O720" s="3" t="s">
        <v>64</v>
      </c>
      <c r="P720" s="3" t="s">
        <v>1355</v>
      </c>
      <c r="R720" s="3" t="s">
        <v>1346</v>
      </c>
      <c r="S720" s="4">
        <v>4</v>
      </c>
      <c r="T720" s="4">
        <v>4</v>
      </c>
      <c r="U720" s="5" t="s">
        <v>1851</v>
      </c>
      <c r="V720" s="5" t="s">
        <v>1851</v>
      </c>
      <c r="W720" s="5" t="s">
        <v>1778</v>
      </c>
      <c r="X720" s="5" t="s">
        <v>1778</v>
      </c>
      <c r="Y720" s="4">
        <v>72</v>
      </c>
      <c r="Z720" s="4">
        <v>60</v>
      </c>
      <c r="AA720" s="4">
        <v>60</v>
      </c>
      <c r="AB720" s="4">
        <v>1</v>
      </c>
      <c r="AC720" s="4">
        <v>1</v>
      </c>
      <c r="AD720" s="4">
        <v>0</v>
      </c>
      <c r="AE720" s="4">
        <v>0</v>
      </c>
      <c r="AF720" s="4">
        <v>0</v>
      </c>
      <c r="AG720" s="4">
        <v>0</v>
      </c>
      <c r="AH720" s="4">
        <v>0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0</v>
      </c>
      <c r="AO720" s="4">
        <v>0</v>
      </c>
      <c r="AP720" s="3" t="s">
        <v>58</v>
      </c>
      <c r="AQ720" s="3" t="s">
        <v>58</v>
      </c>
      <c r="AS720" s="6" t="str">
        <f>HYPERLINK("https://creighton-primo.hosted.exlibrisgroup.com/primo-explore/search?tab=default_tab&amp;search_scope=EVERYTHING&amp;vid=01CRU&amp;lang=en_US&amp;offset=0&amp;query=any,contains,991001511269702656","Catalog Record")</f>
        <v>Catalog Record</v>
      </c>
      <c r="AT720" s="6" t="str">
        <f>HYPERLINK("http://www.worldcat.org/oclc/26160254","WorldCat Record")</f>
        <v>WorldCat Record</v>
      </c>
    </row>
    <row r="721" spans="1:46" ht="40.5" customHeight="1" x14ac:dyDescent="0.25">
      <c r="A721" s="8" t="s">
        <v>58</v>
      </c>
      <c r="B721" s="2" t="s">
        <v>4965</v>
      </c>
      <c r="C721" s="2" t="s">
        <v>4966</v>
      </c>
      <c r="D721" s="2" t="s">
        <v>4967</v>
      </c>
      <c r="F721" s="3" t="s">
        <v>58</v>
      </c>
      <c r="G721" s="3" t="s">
        <v>59</v>
      </c>
      <c r="H721" s="3" t="s">
        <v>58</v>
      </c>
      <c r="I721" s="3" t="s">
        <v>58</v>
      </c>
      <c r="J721" s="3" t="s">
        <v>60</v>
      </c>
      <c r="K721" s="2" t="s">
        <v>4968</v>
      </c>
      <c r="L721" s="2" t="s">
        <v>4969</v>
      </c>
      <c r="M721" s="3" t="s">
        <v>907</v>
      </c>
      <c r="O721" s="3" t="s">
        <v>64</v>
      </c>
      <c r="P721" s="3" t="s">
        <v>65</v>
      </c>
      <c r="R721" s="3" t="s">
        <v>1346</v>
      </c>
      <c r="S721" s="4">
        <v>0</v>
      </c>
      <c r="T721" s="4">
        <v>0</v>
      </c>
      <c r="U721" s="5" t="s">
        <v>4970</v>
      </c>
      <c r="V721" s="5" t="s">
        <v>4970</v>
      </c>
      <c r="W721" s="5" t="s">
        <v>4970</v>
      </c>
      <c r="X721" s="5" t="s">
        <v>4970</v>
      </c>
      <c r="Y721" s="4">
        <v>949</v>
      </c>
      <c r="Z721" s="4">
        <v>812</v>
      </c>
      <c r="AA721" s="4">
        <v>891</v>
      </c>
      <c r="AB721" s="4">
        <v>6</v>
      </c>
      <c r="AC721" s="4">
        <v>6</v>
      </c>
      <c r="AD721" s="4">
        <v>24</v>
      </c>
      <c r="AE721" s="4">
        <v>25</v>
      </c>
      <c r="AF721" s="4">
        <v>9</v>
      </c>
      <c r="AG721" s="4">
        <v>10</v>
      </c>
      <c r="AH721" s="4">
        <v>8</v>
      </c>
      <c r="AI721" s="4">
        <v>9</v>
      </c>
      <c r="AJ721" s="4">
        <v>11</v>
      </c>
      <c r="AK721" s="4">
        <v>11</v>
      </c>
      <c r="AL721" s="4">
        <v>3</v>
      </c>
      <c r="AM721" s="4">
        <v>3</v>
      </c>
      <c r="AN721" s="4">
        <v>0</v>
      </c>
      <c r="AO721" s="4">
        <v>0</v>
      </c>
      <c r="AP721" s="3" t="s">
        <v>58</v>
      </c>
      <c r="AQ721" s="3" t="s">
        <v>58</v>
      </c>
      <c r="AS721" s="6" t="str">
        <f>HYPERLINK("https://creighton-primo.hosted.exlibrisgroup.com/primo-explore/search?tab=default_tab&amp;search_scope=EVERYTHING&amp;vid=01CRU&amp;lang=en_US&amp;offset=0&amp;query=any,contains,991001319229702656","Catalog Record")</f>
        <v>Catalog Record</v>
      </c>
      <c r="AT721" s="6" t="str">
        <f>HYPERLINK("http://www.worldcat.org/oclc/62593856","WorldCat Record")</f>
        <v>WorldCat Record</v>
      </c>
    </row>
    <row r="722" spans="1:46" ht="40.5" customHeight="1" x14ac:dyDescent="0.25">
      <c r="A722" s="8" t="s">
        <v>58</v>
      </c>
      <c r="B722" s="2" t="s">
        <v>4971</v>
      </c>
      <c r="C722" s="2" t="s">
        <v>4972</v>
      </c>
      <c r="D722" s="2" t="s">
        <v>4973</v>
      </c>
      <c r="F722" s="3" t="s">
        <v>58</v>
      </c>
      <c r="G722" s="3" t="s">
        <v>59</v>
      </c>
      <c r="H722" s="3" t="s">
        <v>58</v>
      </c>
      <c r="I722" s="3" t="s">
        <v>58</v>
      </c>
      <c r="J722" s="3" t="s">
        <v>60</v>
      </c>
      <c r="K722" s="2" t="s">
        <v>4974</v>
      </c>
      <c r="L722" s="2" t="s">
        <v>2251</v>
      </c>
      <c r="M722" s="3" t="s">
        <v>189</v>
      </c>
      <c r="N722" s="2" t="s">
        <v>4975</v>
      </c>
      <c r="O722" s="3" t="s">
        <v>64</v>
      </c>
      <c r="P722" s="3" t="s">
        <v>613</v>
      </c>
      <c r="R722" s="3" t="s">
        <v>1346</v>
      </c>
      <c r="S722" s="4">
        <v>10</v>
      </c>
      <c r="T722" s="4">
        <v>10</v>
      </c>
      <c r="U722" s="5" t="s">
        <v>4976</v>
      </c>
      <c r="V722" s="5" t="s">
        <v>4976</v>
      </c>
      <c r="W722" s="5" t="s">
        <v>1778</v>
      </c>
      <c r="X722" s="5" t="s">
        <v>1778</v>
      </c>
      <c r="Y722" s="4">
        <v>49</v>
      </c>
      <c r="Z722" s="4">
        <v>34</v>
      </c>
      <c r="AA722" s="4">
        <v>51</v>
      </c>
      <c r="AB722" s="4">
        <v>1</v>
      </c>
      <c r="AC722" s="4">
        <v>1</v>
      </c>
      <c r="AD722" s="4">
        <v>1</v>
      </c>
      <c r="AE722" s="4">
        <v>1</v>
      </c>
      <c r="AF722" s="4">
        <v>1</v>
      </c>
      <c r="AG722" s="4">
        <v>1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3" t="s">
        <v>58</v>
      </c>
      <c r="AQ722" s="3" t="s">
        <v>58</v>
      </c>
      <c r="AS722" s="6" t="str">
        <f>HYPERLINK("https://creighton-primo.hosted.exlibrisgroup.com/primo-explore/search?tab=default_tab&amp;search_scope=EVERYTHING&amp;vid=01CRU&amp;lang=en_US&amp;offset=0&amp;query=any,contains,991001512289702656","Catalog Record")</f>
        <v>Catalog Record</v>
      </c>
      <c r="AT722" s="6" t="str">
        <f>HYPERLINK("http://www.worldcat.org/oclc/26550460","WorldCat Record")</f>
        <v>WorldCat Record</v>
      </c>
    </row>
    <row r="723" spans="1:46" ht="40.5" customHeight="1" x14ac:dyDescent="0.25">
      <c r="A723" s="8" t="s">
        <v>58</v>
      </c>
      <c r="B723" s="2" t="s">
        <v>4977</v>
      </c>
      <c r="C723" s="2" t="s">
        <v>4978</v>
      </c>
      <c r="D723" s="2" t="s">
        <v>4979</v>
      </c>
      <c r="F723" s="3" t="s">
        <v>58</v>
      </c>
      <c r="G723" s="3" t="s">
        <v>59</v>
      </c>
      <c r="H723" s="3" t="s">
        <v>58</v>
      </c>
      <c r="I723" s="3" t="s">
        <v>58</v>
      </c>
      <c r="J723" s="3" t="s">
        <v>60</v>
      </c>
      <c r="K723" s="2" t="s">
        <v>4615</v>
      </c>
      <c r="L723" s="2" t="s">
        <v>2276</v>
      </c>
      <c r="M723" s="3" t="s">
        <v>1177</v>
      </c>
      <c r="O723" s="3" t="s">
        <v>64</v>
      </c>
      <c r="P723" s="3" t="s">
        <v>1355</v>
      </c>
      <c r="R723" s="3" t="s">
        <v>1346</v>
      </c>
      <c r="S723" s="4">
        <v>5</v>
      </c>
      <c r="T723" s="4">
        <v>5</v>
      </c>
      <c r="U723" s="5" t="s">
        <v>4980</v>
      </c>
      <c r="V723" s="5" t="s">
        <v>4980</v>
      </c>
      <c r="W723" s="5" t="s">
        <v>2335</v>
      </c>
      <c r="X723" s="5" t="s">
        <v>2335</v>
      </c>
      <c r="Y723" s="4">
        <v>142</v>
      </c>
      <c r="Z723" s="4">
        <v>110</v>
      </c>
      <c r="AA723" s="4">
        <v>110</v>
      </c>
      <c r="AB723" s="4">
        <v>1</v>
      </c>
      <c r="AC723" s="4">
        <v>1</v>
      </c>
      <c r="AD723" s="4">
        <v>3</v>
      </c>
      <c r="AE723" s="4">
        <v>3</v>
      </c>
      <c r="AF723" s="4">
        <v>0</v>
      </c>
      <c r="AG723" s="4">
        <v>0</v>
      </c>
      <c r="AH723" s="4">
        <v>2</v>
      </c>
      <c r="AI723" s="4">
        <v>2</v>
      </c>
      <c r="AJ723" s="4">
        <v>1</v>
      </c>
      <c r="AK723" s="4">
        <v>1</v>
      </c>
      <c r="AL723" s="4">
        <v>0</v>
      </c>
      <c r="AM723" s="4">
        <v>0</v>
      </c>
      <c r="AN723" s="4">
        <v>0</v>
      </c>
      <c r="AO723" s="4">
        <v>0</v>
      </c>
      <c r="AP723" s="3" t="s">
        <v>58</v>
      </c>
      <c r="AQ723" s="3" t="s">
        <v>58</v>
      </c>
      <c r="AS723" s="6" t="str">
        <f>HYPERLINK("https://creighton-primo.hosted.exlibrisgroup.com/primo-explore/search?tab=default_tab&amp;search_scope=EVERYTHING&amp;vid=01CRU&amp;lang=en_US&amp;offset=0&amp;query=any,contains,991001266899702656","Catalog Record")</f>
        <v>Catalog Record</v>
      </c>
      <c r="AT723" s="6" t="str">
        <f>HYPERLINK("http://www.worldcat.org/oclc/15018790","WorldCat Record")</f>
        <v>WorldCat Record</v>
      </c>
    </row>
    <row r="724" spans="1:46" ht="40.5" customHeight="1" x14ac:dyDescent="0.25">
      <c r="A724" s="8" t="s">
        <v>58</v>
      </c>
      <c r="B724" s="2" t="s">
        <v>4981</v>
      </c>
      <c r="C724" s="2" t="s">
        <v>4982</v>
      </c>
      <c r="D724" s="2" t="s">
        <v>4983</v>
      </c>
      <c r="F724" s="3" t="s">
        <v>58</v>
      </c>
      <c r="G724" s="3" t="s">
        <v>59</v>
      </c>
      <c r="H724" s="3" t="s">
        <v>58</v>
      </c>
      <c r="I724" s="3" t="s">
        <v>58</v>
      </c>
      <c r="J724" s="3" t="s">
        <v>60</v>
      </c>
      <c r="L724" s="2" t="s">
        <v>2415</v>
      </c>
      <c r="M724" s="3" t="s">
        <v>1122</v>
      </c>
      <c r="O724" s="3" t="s">
        <v>64</v>
      </c>
      <c r="P724" s="3" t="s">
        <v>65</v>
      </c>
      <c r="Q724" s="2" t="s">
        <v>4984</v>
      </c>
      <c r="R724" s="3" t="s">
        <v>1346</v>
      </c>
      <c r="S724" s="4">
        <v>9</v>
      </c>
      <c r="T724" s="4">
        <v>9</v>
      </c>
      <c r="U724" s="5" t="s">
        <v>4976</v>
      </c>
      <c r="V724" s="5" t="s">
        <v>4976</v>
      </c>
      <c r="W724" s="5" t="s">
        <v>4985</v>
      </c>
      <c r="X724" s="5" t="s">
        <v>4985</v>
      </c>
      <c r="Y724" s="4">
        <v>172</v>
      </c>
      <c r="Z724" s="4">
        <v>119</v>
      </c>
      <c r="AA724" s="4">
        <v>159</v>
      </c>
      <c r="AB724" s="4">
        <v>1</v>
      </c>
      <c r="AC724" s="4">
        <v>1</v>
      </c>
      <c r="AD724" s="4">
        <v>5</v>
      </c>
      <c r="AE724" s="4">
        <v>5</v>
      </c>
      <c r="AF724" s="4">
        <v>4</v>
      </c>
      <c r="AG724" s="4">
        <v>4</v>
      </c>
      <c r="AH724" s="4">
        <v>2</v>
      </c>
      <c r="AI724" s="4">
        <v>2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3" t="s">
        <v>58</v>
      </c>
      <c r="AQ724" s="3" t="s">
        <v>58</v>
      </c>
      <c r="AS724" s="6" t="str">
        <f>HYPERLINK("https://creighton-primo.hosted.exlibrisgroup.com/primo-explore/search?tab=default_tab&amp;search_scope=EVERYTHING&amp;vid=01CRU&amp;lang=en_US&amp;offset=0&amp;query=any,contains,991001305099702656","Catalog Record")</f>
        <v>Catalog Record</v>
      </c>
      <c r="AT724" s="6" t="str">
        <f>HYPERLINK("http://www.worldcat.org/oclc/20491808","WorldCat Record")</f>
        <v>WorldCat Record</v>
      </c>
    </row>
    <row r="725" spans="1:46" ht="40.5" customHeight="1" x14ac:dyDescent="0.25">
      <c r="A725" s="8" t="s">
        <v>58</v>
      </c>
      <c r="B725" s="2" t="s">
        <v>4986</v>
      </c>
      <c r="C725" s="2" t="s">
        <v>4987</v>
      </c>
      <c r="D725" s="2" t="s">
        <v>4988</v>
      </c>
      <c r="F725" s="3" t="s">
        <v>58</v>
      </c>
      <c r="G725" s="3" t="s">
        <v>59</v>
      </c>
      <c r="H725" s="3" t="s">
        <v>58</v>
      </c>
      <c r="I725" s="3" t="s">
        <v>58</v>
      </c>
      <c r="J725" s="3" t="s">
        <v>60</v>
      </c>
      <c r="K725" s="2" t="s">
        <v>4989</v>
      </c>
      <c r="L725" s="2" t="s">
        <v>4990</v>
      </c>
      <c r="M725" s="3" t="s">
        <v>189</v>
      </c>
      <c r="N725" s="2" t="s">
        <v>174</v>
      </c>
      <c r="O725" s="3" t="s">
        <v>64</v>
      </c>
      <c r="P725" s="3" t="s">
        <v>190</v>
      </c>
      <c r="R725" s="3" t="s">
        <v>1346</v>
      </c>
      <c r="S725" s="4">
        <v>8</v>
      </c>
      <c r="T725" s="4">
        <v>8</v>
      </c>
      <c r="U725" s="5" t="s">
        <v>4991</v>
      </c>
      <c r="V725" s="5" t="s">
        <v>4991</v>
      </c>
      <c r="W725" s="5" t="s">
        <v>4992</v>
      </c>
      <c r="X725" s="5" t="s">
        <v>4992</v>
      </c>
      <c r="Y725" s="4">
        <v>98</v>
      </c>
      <c r="Z725" s="4">
        <v>79</v>
      </c>
      <c r="AA725" s="4">
        <v>81</v>
      </c>
      <c r="AB725" s="4">
        <v>1</v>
      </c>
      <c r="AC725" s="4">
        <v>1</v>
      </c>
      <c r="AD725" s="4">
        <v>2</v>
      </c>
      <c r="AE725" s="4">
        <v>2</v>
      </c>
      <c r="AF725" s="4">
        <v>0</v>
      </c>
      <c r="AG725" s="4">
        <v>0</v>
      </c>
      <c r="AH725" s="4">
        <v>1</v>
      </c>
      <c r="AI725" s="4">
        <v>1</v>
      </c>
      <c r="AJ725" s="4">
        <v>2</v>
      </c>
      <c r="AK725" s="4">
        <v>2</v>
      </c>
      <c r="AL725" s="4">
        <v>0</v>
      </c>
      <c r="AM725" s="4">
        <v>0</v>
      </c>
      <c r="AN725" s="4">
        <v>0</v>
      </c>
      <c r="AO725" s="4">
        <v>0</v>
      </c>
      <c r="AP725" s="3" t="s">
        <v>58</v>
      </c>
      <c r="AQ725" s="3" t="s">
        <v>115</v>
      </c>
      <c r="AR725" s="6" t="str">
        <f>HYPERLINK("http://catalog.hathitrust.org/Record/002549936","HathiTrust Record")</f>
        <v>HathiTrust Record</v>
      </c>
      <c r="AS725" s="6" t="str">
        <f>HYPERLINK("https://creighton-primo.hosted.exlibrisgroup.com/primo-explore/search?tab=default_tab&amp;search_scope=EVERYTHING&amp;vid=01CRU&amp;lang=en_US&amp;offset=0&amp;query=any,contains,991001307949702656","Catalog Record")</f>
        <v>Catalog Record</v>
      </c>
      <c r="AT725" s="6" t="str">
        <f>HYPERLINK("http://www.worldcat.org/oclc/24889759","WorldCat Record")</f>
        <v>WorldCat Record</v>
      </c>
    </row>
    <row r="726" spans="1:46" ht="40.5" customHeight="1" x14ac:dyDescent="0.25">
      <c r="A726" s="8" t="s">
        <v>58</v>
      </c>
      <c r="B726" s="2" t="s">
        <v>4993</v>
      </c>
      <c r="C726" s="2" t="s">
        <v>4994</v>
      </c>
      <c r="D726" s="2" t="s">
        <v>4995</v>
      </c>
      <c r="F726" s="3" t="s">
        <v>58</v>
      </c>
      <c r="G726" s="3" t="s">
        <v>59</v>
      </c>
      <c r="H726" s="3" t="s">
        <v>58</v>
      </c>
      <c r="I726" s="3" t="s">
        <v>58</v>
      </c>
      <c r="J726" s="3" t="s">
        <v>60</v>
      </c>
      <c r="K726" s="2" t="s">
        <v>4996</v>
      </c>
      <c r="L726" s="2" t="s">
        <v>4997</v>
      </c>
      <c r="M726" s="3" t="s">
        <v>572</v>
      </c>
      <c r="O726" s="3" t="s">
        <v>64</v>
      </c>
      <c r="P726" s="3" t="s">
        <v>1406</v>
      </c>
      <c r="R726" s="3" t="s">
        <v>1346</v>
      </c>
      <c r="S726" s="4">
        <v>4</v>
      </c>
      <c r="T726" s="4">
        <v>4</v>
      </c>
      <c r="U726" s="5" t="s">
        <v>1777</v>
      </c>
      <c r="V726" s="5" t="s">
        <v>1777</v>
      </c>
      <c r="W726" s="5" t="s">
        <v>2298</v>
      </c>
      <c r="X726" s="5" t="s">
        <v>2298</v>
      </c>
      <c r="Y726" s="4">
        <v>50</v>
      </c>
      <c r="Z726" s="4">
        <v>40</v>
      </c>
      <c r="AA726" s="4">
        <v>75</v>
      </c>
      <c r="AB726" s="4">
        <v>1</v>
      </c>
      <c r="AC726" s="4">
        <v>1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3" t="s">
        <v>58</v>
      </c>
      <c r="AQ726" s="3" t="s">
        <v>115</v>
      </c>
      <c r="AR726" s="6" t="str">
        <f>HYPERLINK("http://catalog.hathitrust.org/Record/004325127","HathiTrust Record")</f>
        <v>HathiTrust Record</v>
      </c>
      <c r="AS726" s="6" t="str">
        <f>HYPERLINK("https://creighton-primo.hosted.exlibrisgroup.com/primo-explore/search?tab=default_tab&amp;search_scope=EVERYTHING&amp;vid=01CRU&amp;lang=en_US&amp;offset=0&amp;query=any,contains,991000352529702656","Catalog Record")</f>
        <v>Catalog Record</v>
      </c>
      <c r="AT726" s="6" t="str">
        <f>HYPERLINK("http://www.worldcat.org/oclc/52337451","WorldCat Record")</f>
        <v>WorldCat Record</v>
      </c>
    </row>
    <row r="727" spans="1:46" ht="40.5" customHeight="1" x14ac:dyDescent="0.25">
      <c r="A727" s="8" t="s">
        <v>58</v>
      </c>
      <c r="B727" s="2" t="s">
        <v>4998</v>
      </c>
      <c r="C727" s="2" t="s">
        <v>4999</v>
      </c>
      <c r="D727" s="2" t="s">
        <v>5000</v>
      </c>
      <c r="F727" s="3" t="s">
        <v>58</v>
      </c>
      <c r="G727" s="3" t="s">
        <v>59</v>
      </c>
      <c r="H727" s="3" t="s">
        <v>58</v>
      </c>
      <c r="I727" s="3" t="s">
        <v>58</v>
      </c>
      <c r="J727" s="3" t="s">
        <v>60</v>
      </c>
      <c r="L727" s="2" t="s">
        <v>5001</v>
      </c>
      <c r="M727" s="3" t="s">
        <v>189</v>
      </c>
      <c r="N727" s="2" t="s">
        <v>5002</v>
      </c>
      <c r="O727" s="3" t="s">
        <v>64</v>
      </c>
      <c r="P727" s="3" t="s">
        <v>2394</v>
      </c>
      <c r="R727" s="3" t="s">
        <v>1346</v>
      </c>
      <c r="S727" s="4">
        <v>7</v>
      </c>
      <c r="T727" s="4">
        <v>7</v>
      </c>
      <c r="U727" s="5" t="s">
        <v>5003</v>
      </c>
      <c r="V727" s="5" t="s">
        <v>5003</v>
      </c>
      <c r="W727" s="5" t="s">
        <v>3628</v>
      </c>
      <c r="X727" s="5" t="s">
        <v>3628</v>
      </c>
      <c r="Y727" s="4">
        <v>9</v>
      </c>
      <c r="Z727" s="4">
        <v>8</v>
      </c>
      <c r="AA727" s="4">
        <v>8</v>
      </c>
      <c r="AB727" s="4">
        <v>1</v>
      </c>
      <c r="AC727" s="4">
        <v>1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3" t="s">
        <v>58</v>
      </c>
      <c r="AQ727" s="3" t="s">
        <v>58</v>
      </c>
      <c r="AS727" s="6" t="str">
        <f>HYPERLINK("https://creighton-primo.hosted.exlibrisgroup.com/primo-explore/search?tab=default_tab&amp;search_scope=EVERYTHING&amp;vid=01CRU&amp;lang=en_US&amp;offset=0&amp;query=any,contains,991001341649702656","Catalog Record")</f>
        <v>Catalog Record</v>
      </c>
      <c r="AT727" s="6" t="str">
        <f>HYPERLINK("http://www.worldcat.org/oclc/26203223","WorldCat Record")</f>
        <v>WorldCat Record</v>
      </c>
    </row>
    <row r="728" spans="1:46" ht="40.5" customHeight="1" x14ac:dyDescent="0.25">
      <c r="A728" s="8" t="s">
        <v>58</v>
      </c>
      <c r="B728" s="2" t="s">
        <v>5004</v>
      </c>
      <c r="C728" s="2" t="s">
        <v>5005</v>
      </c>
      <c r="D728" s="2" t="s">
        <v>5006</v>
      </c>
      <c r="F728" s="3" t="s">
        <v>58</v>
      </c>
      <c r="G728" s="3" t="s">
        <v>59</v>
      </c>
      <c r="H728" s="3" t="s">
        <v>58</v>
      </c>
      <c r="I728" s="3" t="s">
        <v>58</v>
      </c>
      <c r="J728" s="3" t="s">
        <v>60</v>
      </c>
      <c r="L728" s="2" t="s">
        <v>5007</v>
      </c>
      <c r="M728" s="3" t="s">
        <v>1414</v>
      </c>
      <c r="O728" s="3" t="s">
        <v>64</v>
      </c>
      <c r="P728" s="3" t="s">
        <v>144</v>
      </c>
      <c r="R728" s="3" t="s">
        <v>1346</v>
      </c>
      <c r="S728" s="4">
        <v>3</v>
      </c>
      <c r="T728" s="4">
        <v>3</v>
      </c>
      <c r="U728" s="5" t="s">
        <v>5008</v>
      </c>
      <c r="V728" s="5" t="s">
        <v>5008</v>
      </c>
      <c r="W728" s="5" t="s">
        <v>2380</v>
      </c>
      <c r="X728" s="5" t="s">
        <v>2380</v>
      </c>
      <c r="Y728" s="4">
        <v>65</v>
      </c>
      <c r="Z728" s="4">
        <v>48</v>
      </c>
      <c r="AA728" s="4">
        <v>48</v>
      </c>
      <c r="AB728" s="4">
        <v>1</v>
      </c>
      <c r="AC728" s="4">
        <v>1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3" t="s">
        <v>58</v>
      </c>
      <c r="AQ728" s="3" t="s">
        <v>58</v>
      </c>
      <c r="AS728" s="6" t="str">
        <f>HYPERLINK("https://creighton-primo.hosted.exlibrisgroup.com/primo-explore/search?tab=default_tab&amp;search_scope=EVERYTHING&amp;vid=01CRU&amp;lang=en_US&amp;offset=0&amp;query=any,contains,991001282219702656","Catalog Record")</f>
        <v>Catalog Record</v>
      </c>
      <c r="AT728" s="6" t="str">
        <f>HYPERLINK("http://www.worldcat.org/oclc/9827818","WorldCat Record")</f>
        <v>WorldCat Record</v>
      </c>
    </row>
    <row r="729" spans="1:46" ht="40.5" customHeight="1" x14ac:dyDescent="0.25">
      <c r="A729" s="8" t="s">
        <v>58</v>
      </c>
      <c r="B729" s="2" t="s">
        <v>5009</v>
      </c>
      <c r="C729" s="2" t="s">
        <v>5010</v>
      </c>
      <c r="D729" s="2" t="s">
        <v>5011</v>
      </c>
      <c r="F729" s="3" t="s">
        <v>58</v>
      </c>
      <c r="G729" s="3" t="s">
        <v>59</v>
      </c>
      <c r="H729" s="3" t="s">
        <v>58</v>
      </c>
      <c r="I729" s="3" t="s">
        <v>115</v>
      </c>
      <c r="J729" s="3" t="s">
        <v>60</v>
      </c>
      <c r="L729" s="2" t="s">
        <v>5012</v>
      </c>
      <c r="M729" s="3" t="s">
        <v>220</v>
      </c>
      <c r="N729" s="2" t="s">
        <v>5013</v>
      </c>
      <c r="O729" s="3" t="s">
        <v>64</v>
      </c>
      <c r="P729" s="3" t="s">
        <v>265</v>
      </c>
      <c r="R729" s="3" t="s">
        <v>1346</v>
      </c>
      <c r="S729" s="4">
        <v>0</v>
      </c>
      <c r="T729" s="4">
        <v>0</v>
      </c>
      <c r="U729" s="5" t="s">
        <v>5014</v>
      </c>
      <c r="V729" s="5" t="s">
        <v>5014</v>
      </c>
      <c r="W729" s="5" t="s">
        <v>2286</v>
      </c>
      <c r="X729" s="5" t="s">
        <v>2286</v>
      </c>
      <c r="Y729" s="4">
        <v>51</v>
      </c>
      <c r="Z729" s="4">
        <v>46</v>
      </c>
      <c r="AA729" s="4">
        <v>393</v>
      </c>
      <c r="AB729" s="4">
        <v>1</v>
      </c>
      <c r="AC729" s="4">
        <v>1</v>
      </c>
      <c r="AD729" s="4">
        <v>1</v>
      </c>
      <c r="AE729" s="4">
        <v>6</v>
      </c>
      <c r="AF729" s="4">
        <v>0</v>
      </c>
      <c r="AG729" s="4">
        <v>2</v>
      </c>
      <c r="AH729" s="4">
        <v>1</v>
      </c>
      <c r="AI729" s="4">
        <v>2</v>
      </c>
      <c r="AJ729" s="4">
        <v>0</v>
      </c>
      <c r="AK729" s="4">
        <v>3</v>
      </c>
      <c r="AL729" s="4">
        <v>0</v>
      </c>
      <c r="AM729" s="4">
        <v>0</v>
      </c>
      <c r="AN729" s="4">
        <v>0</v>
      </c>
      <c r="AO729" s="4">
        <v>0</v>
      </c>
      <c r="AP729" s="3" t="s">
        <v>58</v>
      </c>
      <c r="AQ729" s="3" t="s">
        <v>58</v>
      </c>
      <c r="AS729" s="6" t="str">
        <f>HYPERLINK("https://creighton-primo.hosted.exlibrisgroup.com/primo-explore/search?tab=default_tab&amp;search_scope=EVERYTHING&amp;vid=01CRU&amp;lang=en_US&amp;offset=0&amp;query=any,contains,991000992549702656","Catalog Record")</f>
        <v>Catalog Record</v>
      </c>
      <c r="AT729" s="6" t="str">
        <f>HYPERLINK("http://www.worldcat.org/oclc/424524","WorldCat Record")</f>
        <v>WorldCat Record</v>
      </c>
    </row>
    <row r="730" spans="1:46" ht="40.5" customHeight="1" x14ac:dyDescent="0.25">
      <c r="A730" s="8" t="s">
        <v>58</v>
      </c>
      <c r="B730" s="2" t="s">
        <v>5015</v>
      </c>
      <c r="C730" s="2" t="s">
        <v>5016</v>
      </c>
      <c r="D730" s="2" t="s">
        <v>5011</v>
      </c>
      <c r="F730" s="3" t="s">
        <v>58</v>
      </c>
      <c r="G730" s="3" t="s">
        <v>59</v>
      </c>
      <c r="H730" s="3" t="s">
        <v>58</v>
      </c>
      <c r="I730" s="3" t="s">
        <v>115</v>
      </c>
      <c r="J730" s="3" t="s">
        <v>60</v>
      </c>
      <c r="L730" s="2" t="s">
        <v>5017</v>
      </c>
      <c r="M730" s="3" t="s">
        <v>698</v>
      </c>
      <c r="N730" s="2" t="s">
        <v>4322</v>
      </c>
      <c r="O730" s="3" t="s">
        <v>64</v>
      </c>
      <c r="P730" s="3" t="s">
        <v>265</v>
      </c>
      <c r="R730" s="3" t="s">
        <v>1346</v>
      </c>
      <c r="S730" s="4">
        <v>1</v>
      </c>
      <c r="T730" s="4">
        <v>1</v>
      </c>
      <c r="U730" s="5" t="s">
        <v>3099</v>
      </c>
      <c r="V730" s="5" t="s">
        <v>3099</v>
      </c>
      <c r="W730" s="5" t="s">
        <v>2286</v>
      </c>
      <c r="X730" s="5" t="s">
        <v>2286</v>
      </c>
      <c r="Y730" s="4">
        <v>48</v>
      </c>
      <c r="Z730" s="4">
        <v>41</v>
      </c>
      <c r="AA730" s="4">
        <v>393</v>
      </c>
      <c r="AB730" s="4">
        <v>1</v>
      </c>
      <c r="AC730" s="4">
        <v>1</v>
      </c>
      <c r="AD730" s="4">
        <v>0</v>
      </c>
      <c r="AE730" s="4">
        <v>6</v>
      </c>
      <c r="AF730" s="4">
        <v>0</v>
      </c>
      <c r="AG730" s="4">
        <v>2</v>
      </c>
      <c r="AH730" s="4">
        <v>0</v>
      </c>
      <c r="AI730" s="4">
        <v>2</v>
      </c>
      <c r="AJ730" s="4">
        <v>0</v>
      </c>
      <c r="AK730" s="4">
        <v>3</v>
      </c>
      <c r="AL730" s="4">
        <v>0</v>
      </c>
      <c r="AM730" s="4">
        <v>0</v>
      </c>
      <c r="AN730" s="4">
        <v>0</v>
      </c>
      <c r="AO730" s="4">
        <v>0</v>
      </c>
      <c r="AP730" s="3" t="s">
        <v>58</v>
      </c>
      <c r="AQ730" s="3" t="s">
        <v>58</v>
      </c>
      <c r="AS730" s="6" t="str">
        <f>HYPERLINK("https://creighton-primo.hosted.exlibrisgroup.com/primo-explore/search?tab=default_tab&amp;search_scope=EVERYTHING&amp;vid=01CRU&amp;lang=en_US&amp;offset=0&amp;query=any,contains,991000992499702656","Catalog Record")</f>
        <v>Catalog Record</v>
      </c>
      <c r="AT730" s="6" t="str">
        <f>HYPERLINK("http://www.worldcat.org/oclc/927241","WorldCat Record")</f>
        <v>WorldCat Record</v>
      </c>
    </row>
    <row r="731" spans="1:46" ht="40.5" customHeight="1" x14ac:dyDescent="0.25">
      <c r="A731" s="8" t="s">
        <v>58</v>
      </c>
      <c r="B731" s="2" t="s">
        <v>5018</v>
      </c>
      <c r="C731" s="2" t="s">
        <v>5019</v>
      </c>
      <c r="D731" s="2" t="s">
        <v>5020</v>
      </c>
      <c r="F731" s="3" t="s">
        <v>58</v>
      </c>
      <c r="G731" s="3" t="s">
        <v>59</v>
      </c>
      <c r="H731" s="3" t="s">
        <v>58</v>
      </c>
      <c r="I731" s="3" t="s">
        <v>58</v>
      </c>
      <c r="J731" s="3" t="s">
        <v>60</v>
      </c>
      <c r="K731" s="2" t="s">
        <v>5021</v>
      </c>
      <c r="L731" s="2" t="s">
        <v>5022</v>
      </c>
      <c r="M731" s="3" t="s">
        <v>1122</v>
      </c>
      <c r="N731" s="2" t="s">
        <v>143</v>
      </c>
      <c r="O731" s="3" t="s">
        <v>64</v>
      </c>
      <c r="P731" s="3" t="s">
        <v>112</v>
      </c>
      <c r="R731" s="3" t="s">
        <v>1346</v>
      </c>
      <c r="S731" s="4">
        <v>11</v>
      </c>
      <c r="T731" s="4">
        <v>11</v>
      </c>
      <c r="U731" s="5" t="s">
        <v>5023</v>
      </c>
      <c r="V731" s="5" t="s">
        <v>5023</v>
      </c>
      <c r="W731" s="5" t="s">
        <v>3690</v>
      </c>
      <c r="X731" s="5" t="s">
        <v>3690</v>
      </c>
      <c r="Y731" s="4">
        <v>75</v>
      </c>
      <c r="Z731" s="4">
        <v>31</v>
      </c>
      <c r="AA731" s="4">
        <v>62</v>
      </c>
      <c r="AB731" s="4">
        <v>1</v>
      </c>
      <c r="AC731" s="4">
        <v>1</v>
      </c>
      <c r="AD731" s="4">
        <v>0</v>
      </c>
      <c r="AE731" s="4">
        <v>1</v>
      </c>
      <c r="AF731" s="4">
        <v>0</v>
      </c>
      <c r="AG731" s="4">
        <v>1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0</v>
      </c>
      <c r="AP731" s="3" t="s">
        <v>58</v>
      </c>
      <c r="AQ731" s="3" t="s">
        <v>58</v>
      </c>
      <c r="AS731" s="6" t="str">
        <f>HYPERLINK("https://creighton-primo.hosted.exlibrisgroup.com/primo-explore/search?tab=default_tab&amp;search_scope=EVERYTHING&amp;vid=01CRU&amp;lang=en_US&amp;offset=0&amp;query=any,contains,991000815939702656","Catalog Record")</f>
        <v>Catalog Record</v>
      </c>
      <c r="AT731" s="6" t="str">
        <f>HYPERLINK("http://www.worldcat.org/oclc/23256714","WorldCat Record")</f>
        <v>WorldCat Record</v>
      </c>
    </row>
    <row r="732" spans="1:46" ht="40.5" customHeight="1" x14ac:dyDescent="0.25">
      <c r="A732" s="8" t="s">
        <v>58</v>
      </c>
      <c r="B732" s="2" t="s">
        <v>5024</v>
      </c>
      <c r="C732" s="2" t="s">
        <v>5025</v>
      </c>
      <c r="D732" s="2" t="s">
        <v>5026</v>
      </c>
      <c r="F732" s="3" t="s">
        <v>58</v>
      </c>
      <c r="G732" s="3" t="s">
        <v>59</v>
      </c>
      <c r="H732" s="3" t="s">
        <v>58</v>
      </c>
      <c r="I732" s="3" t="s">
        <v>58</v>
      </c>
      <c r="J732" s="3" t="s">
        <v>60</v>
      </c>
      <c r="K732" s="2" t="s">
        <v>5021</v>
      </c>
      <c r="L732" s="2" t="s">
        <v>5027</v>
      </c>
      <c r="M732" s="3" t="s">
        <v>189</v>
      </c>
      <c r="O732" s="3" t="s">
        <v>64</v>
      </c>
      <c r="P732" s="3" t="s">
        <v>112</v>
      </c>
      <c r="R732" s="3" t="s">
        <v>1346</v>
      </c>
      <c r="S732" s="4">
        <v>8</v>
      </c>
      <c r="T732" s="4">
        <v>8</v>
      </c>
      <c r="U732" s="5" t="s">
        <v>1983</v>
      </c>
      <c r="V732" s="5" t="s">
        <v>1983</v>
      </c>
      <c r="W732" s="5" t="s">
        <v>2620</v>
      </c>
      <c r="X732" s="5" t="s">
        <v>2620</v>
      </c>
      <c r="Y732" s="4">
        <v>42</v>
      </c>
      <c r="Z732" s="4">
        <v>13</v>
      </c>
      <c r="AA732" s="4">
        <v>21</v>
      </c>
      <c r="AB732" s="4">
        <v>1</v>
      </c>
      <c r="AC732" s="4">
        <v>1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3" t="s">
        <v>58</v>
      </c>
      <c r="AQ732" s="3" t="s">
        <v>58</v>
      </c>
      <c r="AS732" s="6" t="str">
        <f>HYPERLINK("https://creighton-primo.hosted.exlibrisgroup.com/primo-explore/search?tab=default_tab&amp;search_scope=EVERYTHING&amp;vid=01CRU&amp;lang=en_US&amp;offset=0&amp;query=any,contains,991001352239702656","Catalog Record")</f>
        <v>Catalog Record</v>
      </c>
      <c r="AT732" s="6" t="str">
        <f>HYPERLINK("http://www.worldcat.org/oclc/27849290","WorldCat Record")</f>
        <v>WorldCat Record</v>
      </c>
    </row>
    <row r="733" spans="1:46" ht="40.5" customHeight="1" x14ac:dyDescent="0.25">
      <c r="A733" s="8" t="s">
        <v>58</v>
      </c>
      <c r="B733" s="2" t="s">
        <v>5028</v>
      </c>
      <c r="C733" s="2" t="s">
        <v>5029</v>
      </c>
      <c r="D733" s="2" t="s">
        <v>5030</v>
      </c>
      <c r="F733" s="3" t="s">
        <v>58</v>
      </c>
      <c r="G733" s="3" t="s">
        <v>59</v>
      </c>
      <c r="H733" s="3" t="s">
        <v>58</v>
      </c>
      <c r="I733" s="3" t="s">
        <v>58</v>
      </c>
      <c r="J733" s="3" t="s">
        <v>60</v>
      </c>
      <c r="L733" s="2" t="s">
        <v>5031</v>
      </c>
      <c r="M733" s="3" t="s">
        <v>189</v>
      </c>
      <c r="O733" s="3" t="s">
        <v>64</v>
      </c>
      <c r="P733" s="3" t="s">
        <v>65</v>
      </c>
      <c r="R733" s="3" t="s">
        <v>1346</v>
      </c>
      <c r="S733" s="4">
        <v>4</v>
      </c>
      <c r="T733" s="4">
        <v>4</v>
      </c>
      <c r="U733" s="5" t="s">
        <v>5032</v>
      </c>
      <c r="V733" s="5" t="s">
        <v>5032</v>
      </c>
      <c r="W733" s="5" t="s">
        <v>5033</v>
      </c>
      <c r="X733" s="5" t="s">
        <v>5033</v>
      </c>
      <c r="Y733" s="4">
        <v>52</v>
      </c>
      <c r="Z733" s="4">
        <v>51</v>
      </c>
      <c r="AA733" s="4">
        <v>56</v>
      </c>
      <c r="AB733" s="4">
        <v>1</v>
      </c>
      <c r="AC733" s="4">
        <v>1</v>
      </c>
      <c r="AD733" s="4">
        <v>1</v>
      </c>
      <c r="AE733" s="4">
        <v>1</v>
      </c>
      <c r="AF733" s="4">
        <v>1</v>
      </c>
      <c r="AG733" s="4">
        <v>1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0</v>
      </c>
      <c r="AO733" s="4">
        <v>0</v>
      </c>
      <c r="AP733" s="3" t="s">
        <v>58</v>
      </c>
      <c r="AQ733" s="3" t="s">
        <v>58</v>
      </c>
      <c r="AS733" s="6" t="str">
        <f>HYPERLINK("https://creighton-primo.hosted.exlibrisgroup.com/primo-explore/search?tab=default_tab&amp;search_scope=EVERYTHING&amp;vid=01CRU&amp;lang=en_US&amp;offset=0&amp;query=any,contains,991001305689702656","Catalog Record")</f>
        <v>Catalog Record</v>
      </c>
      <c r="AT733" s="6" t="str">
        <f>HYPERLINK("http://www.worldcat.org/oclc/25506595","WorldCat Record")</f>
        <v>WorldCat Record</v>
      </c>
    </row>
    <row r="734" spans="1:46" ht="40.5" customHeight="1" x14ac:dyDescent="0.25">
      <c r="A734" s="8" t="s">
        <v>58</v>
      </c>
      <c r="B734" s="2" t="s">
        <v>5034</v>
      </c>
      <c r="C734" s="2" t="s">
        <v>5035</v>
      </c>
      <c r="D734" s="2" t="s">
        <v>5036</v>
      </c>
      <c r="F734" s="3" t="s">
        <v>58</v>
      </c>
      <c r="G734" s="3" t="s">
        <v>59</v>
      </c>
      <c r="H734" s="3" t="s">
        <v>58</v>
      </c>
      <c r="I734" s="3" t="s">
        <v>58</v>
      </c>
      <c r="J734" s="3" t="s">
        <v>60</v>
      </c>
      <c r="L734" s="2" t="s">
        <v>5037</v>
      </c>
      <c r="M734" s="3" t="s">
        <v>424</v>
      </c>
      <c r="O734" s="3" t="s">
        <v>64</v>
      </c>
      <c r="P734" s="3" t="s">
        <v>65</v>
      </c>
      <c r="R734" s="3" t="s">
        <v>1346</v>
      </c>
      <c r="S734" s="4">
        <v>9</v>
      </c>
      <c r="T734" s="4">
        <v>9</v>
      </c>
      <c r="U734" s="5" t="s">
        <v>4459</v>
      </c>
      <c r="V734" s="5" t="s">
        <v>4459</v>
      </c>
      <c r="W734" s="5" t="s">
        <v>5038</v>
      </c>
      <c r="X734" s="5" t="s">
        <v>5038</v>
      </c>
      <c r="Y734" s="4">
        <v>38</v>
      </c>
      <c r="Z734" s="4">
        <v>36</v>
      </c>
      <c r="AA734" s="4">
        <v>37</v>
      </c>
      <c r="AB734" s="4">
        <v>2</v>
      </c>
      <c r="AC734" s="4">
        <v>2</v>
      </c>
      <c r="AD734" s="4"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0</v>
      </c>
      <c r="AP734" s="3" t="s">
        <v>58</v>
      </c>
      <c r="AQ734" s="3" t="s">
        <v>58</v>
      </c>
      <c r="AS734" s="6" t="str">
        <f>HYPERLINK("https://creighton-primo.hosted.exlibrisgroup.com/primo-explore/search?tab=default_tab&amp;search_scope=EVERYTHING&amp;vid=01CRU&amp;lang=en_US&amp;offset=0&amp;query=any,contains,991000549029702656","Catalog Record")</f>
        <v>Catalog Record</v>
      </c>
      <c r="AT734" s="6" t="str">
        <f>HYPERLINK("http://www.worldcat.org/oclc/29463652","WorldCat Record")</f>
        <v>WorldCat Record</v>
      </c>
    </row>
    <row r="735" spans="1:46" ht="40.5" customHeight="1" x14ac:dyDescent="0.25">
      <c r="A735" s="8" t="s">
        <v>58</v>
      </c>
      <c r="B735" s="2" t="s">
        <v>5039</v>
      </c>
      <c r="C735" s="2" t="s">
        <v>5040</v>
      </c>
      <c r="D735" s="2" t="s">
        <v>5041</v>
      </c>
      <c r="F735" s="3" t="s">
        <v>58</v>
      </c>
      <c r="G735" s="3" t="s">
        <v>59</v>
      </c>
      <c r="H735" s="3" t="s">
        <v>58</v>
      </c>
      <c r="I735" s="3" t="s">
        <v>58</v>
      </c>
      <c r="J735" s="3" t="s">
        <v>60</v>
      </c>
      <c r="L735" s="2" t="s">
        <v>5042</v>
      </c>
      <c r="M735" s="3" t="s">
        <v>306</v>
      </c>
      <c r="O735" s="3" t="s">
        <v>64</v>
      </c>
      <c r="P735" s="3" t="s">
        <v>1406</v>
      </c>
      <c r="R735" s="3" t="s">
        <v>1346</v>
      </c>
      <c r="S735" s="4">
        <v>16</v>
      </c>
      <c r="T735" s="4">
        <v>16</v>
      </c>
      <c r="U735" s="5" t="s">
        <v>5043</v>
      </c>
      <c r="V735" s="5" t="s">
        <v>5043</v>
      </c>
      <c r="W735" s="5" t="s">
        <v>4511</v>
      </c>
      <c r="X735" s="5" t="s">
        <v>4511</v>
      </c>
      <c r="Y735" s="4">
        <v>46</v>
      </c>
      <c r="Z735" s="4">
        <v>40</v>
      </c>
      <c r="AA735" s="4">
        <v>40</v>
      </c>
      <c r="AB735" s="4">
        <v>1</v>
      </c>
      <c r="AC735" s="4">
        <v>1</v>
      </c>
      <c r="AD735" s="4">
        <v>0</v>
      </c>
      <c r="AE735" s="4">
        <v>0</v>
      </c>
      <c r="AF735" s="4">
        <v>0</v>
      </c>
      <c r="AG735" s="4">
        <v>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0</v>
      </c>
      <c r="AP735" s="3" t="s">
        <v>58</v>
      </c>
      <c r="AQ735" s="3" t="s">
        <v>58</v>
      </c>
      <c r="AS735" s="6" t="str">
        <f>HYPERLINK("https://creighton-primo.hosted.exlibrisgroup.com/primo-explore/search?tab=default_tab&amp;search_scope=EVERYTHING&amp;vid=01CRU&amp;lang=en_US&amp;offset=0&amp;query=any,contains,991000526289702656","Catalog Record")</f>
        <v>Catalog Record</v>
      </c>
      <c r="AT735" s="6" t="str">
        <f>HYPERLINK("http://www.worldcat.org/oclc/33860272","WorldCat Record")</f>
        <v>WorldCat Record</v>
      </c>
    </row>
    <row r="736" spans="1:46" ht="40.5" customHeight="1" x14ac:dyDescent="0.25">
      <c r="A736" s="8" t="s">
        <v>58</v>
      </c>
      <c r="B736" s="2" t="s">
        <v>5044</v>
      </c>
      <c r="C736" s="2" t="s">
        <v>5045</v>
      </c>
      <c r="D736" s="2" t="s">
        <v>5046</v>
      </c>
      <c r="F736" s="3" t="s">
        <v>58</v>
      </c>
      <c r="G736" s="3" t="s">
        <v>59</v>
      </c>
      <c r="H736" s="3" t="s">
        <v>58</v>
      </c>
      <c r="I736" s="3" t="s">
        <v>58</v>
      </c>
      <c r="J736" s="3" t="s">
        <v>60</v>
      </c>
      <c r="K736" s="2" t="s">
        <v>5047</v>
      </c>
      <c r="L736" s="2" t="s">
        <v>2711</v>
      </c>
      <c r="M736" s="3" t="s">
        <v>907</v>
      </c>
      <c r="N736" s="2" t="s">
        <v>143</v>
      </c>
      <c r="O736" s="3" t="s">
        <v>64</v>
      </c>
      <c r="P736" s="3" t="s">
        <v>144</v>
      </c>
      <c r="R736" s="3" t="s">
        <v>1346</v>
      </c>
      <c r="S736" s="4">
        <v>3</v>
      </c>
      <c r="T736" s="4">
        <v>3</v>
      </c>
      <c r="U736" s="5" t="s">
        <v>5048</v>
      </c>
      <c r="V736" s="5" t="s">
        <v>5048</v>
      </c>
      <c r="W736" s="5" t="s">
        <v>5049</v>
      </c>
      <c r="X736" s="5" t="s">
        <v>5049</v>
      </c>
      <c r="Y736" s="4">
        <v>124</v>
      </c>
      <c r="Z736" s="4">
        <v>76</v>
      </c>
      <c r="AA736" s="4">
        <v>76</v>
      </c>
      <c r="AB736" s="4">
        <v>2</v>
      </c>
      <c r="AC736" s="4">
        <v>2</v>
      </c>
      <c r="AD736" s="4">
        <v>2</v>
      </c>
      <c r="AE736" s="4">
        <v>2</v>
      </c>
      <c r="AF736" s="4">
        <v>0</v>
      </c>
      <c r="AG736" s="4">
        <v>0</v>
      </c>
      <c r="AH736" s="4">
        <v>1</v>
      </c>
      <c r="AI736" s="4">
        <v>1</v>
      </c>
      <c r="AJ736" s="4">
        <v>0</v>
      </c>
      <c r="AK736" s="4">
        <v>0</v>
      </c>
      <c r="AL736" s="4">
        <v>1</v>
      </c>
      <c r="AM736" s="4">
        <v>1</v>
      </c>
      <c r="AN736" s="4">
        <v>0</v>
      </c>
      <c r="AO736" s="4">
        <v>0</v>
      </c>
      <c r="AP736" s="3" t="s">
        <v>58</v>
      </c>
      <c r="AQ736" s="3" t="s">
        <v>58</v>
      </c>
      <c r="AS736" s="6" t="str">
        <f>HYPERLINK("https://creighton-primo.hosted.exlibrisgroup.com/primo-explore/search?tab=default_tab&amp;search_scope=EVERYTHING&amp;vid=01CRU&amp;lang=en_US&amp;offset=0&amp;query=any,contains,991000466349702656","Catalog Record")</f>
        <v>Catalog Record</v>
      </c>
      <c r="AT736" s="6" t="str">
        <f>HYPERLINK("http://www.worldcat.org/oclc/61121117","WorldCat Record")</f>
        <v>WorldCat Record</v>
      </c>
    </row>
    <row r="737" spans="1:46" ht="40.5" customHeight="1" x14ac:dyDescent="0.25">
      <c r="A737" s="8" t="s">
        <v>58</v>
      </c>
      <c r="B737" s="2" t="s">
        <v>5050</v>
      </c>
      <c r="C737" s="2" t="s">
        <v>5051</v>
      </c>
      <c r="D737" s="2" t="s">
        <v>5052</v>
      </c>
      <c r="F737" s="3" t="s">
        <v>58</v>
      </c>
      <c r="G737" s="3" t="s">
        <v>59</v>
      </c>
      <c r="H737" s="3" t="s">
        <v>58</v>
      </c>
      <c r="I737" s="3" t="s">
        <v>58</v>
      </c>
      <c r="J737" s="3" t="s">
        <v>60</v>
      </c>
      <c r="L737" s="2" t="s">
        <v>2415</v>
      </c>
      <c r="M737" s="3" t="s">
        <v>1122</v>
      </c>
      <c r="O737" s="3" t="s">
        <v>64</v>
      </c>
      <c r="P737" s="3" t="s">
        <v>65</v>
      </c>
      <c r="Q737" s="2" t="s">
        <v>5053</v>
      </c>
      <c r="R737" s="3" t="s">
        <v>1346</v>
      </c>
      <c r="S737" s="4">
        <v>9</v>
      </c>
      <c r="T737" s="4">
        <v>9</v>
      </c>
      <c r="U737" s="5" t="s">
        <v>1748</v>
      </c>
      <c r="V737" s="5" t="s">
        <v>1748</v>
      </c>
      <c r="W737" s="5" t="s">
        <v>5054</v>
      </c>
      <c r="X737" s="5" t="s">
        <v>5054</v>
      </c>
      <c r="Y737" s="4">
        <v>142</v>
      </c>
      <c r="Z737" s="4">
        <v>102</v>
      </c>
      <c r="AA737" s="4">
        <v>107</v>
      </c>
      <c r="AB737" s="4">
        <v>1</v>
      </c>
      <c r="AC737" s="4">
        <v>1</v>
      </c>
      <c r="AD737" s="4">
        <v>3</v>
      </c>
      <c r="AE737" s="4">
        <v>3</v>
      </c>
      <c r="AF737" s="4">
        <v>2</v>
      </c>
      <c r="AG737" s="4">
        <v>2</v>
      </c>
      <c r="AH737" s="4">
        <v>1</v>
      </c>
      <c r="AI737" s="4">
        <v>1</v>
      </c>
      <c r="AJ737" s="4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0</v>
      </c>
      <c r="AP737" s="3" t="s">
        <v>58</v>
      </c>
      <c r="AQ737" s="3" t="s">
        <v>58</v>
      </c>
      <c r="AS737" s="6" t="str">
        <f>HYPERLINK("https://creighton-primo.hosted.exlibrisgroup.com/primo-explore/search?tab=default_tab&amp;search_scope=EVERYTHING&amp;vid=01CRU&amp;lang=en_US&amp;offset=0&amp;query=any,contains,991001356449702656","Catalog Record")</f>
        <v>Catalog Record</v>
      </c>
      <c r="AT737" s="6" t="str">
        <f>HYPERLINK("http://www.worldcat.org/oclc/20265507","WorldCat Record")</f>
        <v>WorldCat Record</v>
      </c>
    </row>
    <row r="738" spans="1:46" ht="40.5" customHeight="1" x14ac:dyDescent="0.25">
      <c r="A738" s="8" t="s">
        <v>58</v>
      </c>
      <c r="B738" s="2" t="s">
        <v>5055</v>
      </c>
      <c r="C738" s="2" t="s">
        <v>5056</v>
      </c>
      <c r="D738" s="2" t="s">
        <v>5057</v>
      </c>
      <c r="F738" s="3" t="s">
        <v>58</v>
      </c>
      <c r="G738" s="3" t="s">
        <v>59</v>
      </c>
      <c r="H738" s="3" t="s">
        <v>58</v>
      </c>
      <c r="I738" s="3" t="s">
        <v>58</v>
      </c>
      <c r="J738" s="3" t="s">
        <v>60</v>
      </c>
      <c r="L738" s="2" t="s">
        <v>5058</v>
      </c>
      <c r="M738" s="3" t="s">
        <v>380</v>
      </c>
      <c r="N738" s="2" t="s">
        <v>5059</v>
      </c>
      <c r="O738" s="3" t="s">
        <v>5060</v>
      </c>
      <c r="P738" s="3" t="s">
        <v>5061</v>
      </c>
      <c r="R738" s="3" t="s">
        <v>1346</v>
      </c>
      <c r="S738" s="4">
        <v>4</v>
      </c>
      <c r="T738" s="4">
        <v>4</v>
      </c>
      <c r="U738" s="5" t="s">
        <v>5062</v>
      </c>
      <c r="V738" s="5" t="s">
        <v>5062</v>
      </c>
      <c r="W738" s="5" t="s">
        <v>1683</v>
      </c>
      <c r="X738" s="5" t="s">
        <v>1683</v>
      </c>
      <c r="Y738" s="4">
        <v>19</v>
      </c>
      <c r="Z738" s="4">
        <v>3</v>
      </c>
      <c r="AA738" s="4">
        <v>3</v>
      </c>
      <c r="AB738" s="4">
        <v>1</v>
      </c>
      <c r="AC738" s="4">
        <v>1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0</v>
      </c>
      <c r="AP738" s="3" t="s">
        <v>58</v>
      </c>
      <c r="AQ738" s="3" t="s">
        <v>58</v>
      </c>
      <c r="AS738" s="6" t="str">
        <f>HYPERLINK("https://creighton-primo.hosted.exlibrisgroup.com/primo-explore/search?tab=default_tab&amp;search_scope=EVERYTHING&amp;vid=01CRU&amp;lang=en_US&amp;offset=0&amp;query=any,contains,991001344019702656","Catalog Record")</f>
        <v>Catalog Record</v>
      </c>
      <c r="AT738" s="6" t="str">
        <f>HYPERLINK("http://www.worldcat.org/oclc/27861892","WorldCat Record")</f>
        <v>WorldCat Record</v>
      </c>
    </row>
    <row r="739" spans="1:46" ht="40.5" customHeight="1" x14ac:dyDescent="0.25">
      <c r="A739" s="8" t="s">
        <v>58</v>
      </c>
      <c r="B739" s="2" t="s">
        <v>5063</v>
      </c>
      <c r="C739" s="2" t="s">
        <v>5064</v>
      </c>
      <c r="D739" s="2" t="s">
        <v>5065</v>
      </c>
      <c r="F739" s="3" t="s">
        <v>58</v>
      </c>
      <c r="G739" s="3" t="s">
        <v>59</v>
      </c>
      <c r="H739" s="3" t="s">
        <v>58</v>
      </c>
      <c r="I739" s="3" t="s">
        <v>115</v>
      </c>
      <c r="J739" s="3" t="s">
        <v>60</v>
      </c>
      <c r="K739" s="2" t="s">
        <v>5066</v>
      </c>
      <c r="L739" s="2" t="s">
        <v>1958</v>
      </c>
      <c r="M739" s="3" t="s">
        <v>1925</v>
      </c>
      <c r="N739" s="2" t="s">
        <v>143</v>
      </c>
      <c r="O739" s="3" t="s">
        <v>64</v>
      </c>
      <c r="P739" s="3" t="s">
        <v>755</v>
      </c>
      <c r="R739" s="3" t="s">
        <v>1346</v>
      </c>
      <c r="S739" s="4">
        <v>5</v>
      </c>
      <c r="T739" s="4">
        <v>5</v>
      </c>
      <c r="U739" s="5" t="s">
        <v>5067</v>
      </c>
      <c r="V739" s="5" t="s">
        <v>5067</v>
      </c>
      <c r="W739" s="5" t="s">
        <v>3117</v>
      </c>
      <c r="X739" s="5" t="s">
        <v>3117</v>
      </c>
      <c r="Y739" s="4">
        <v>103</v>
      </c>
      <c r="Z739" s="4">
        <v>69</v>
      </c>
      <c r="AA739" s="4">
        <v>167</v>
      </c>
      <c r="AB739" s="4">
        <v>1</v>
      </c>
      <c r="AC739" s="4">
        <v>1</v>
      </c>
      <c r="AD739" s="4">
        <v>1</v>
      </c>
      <c r="AE739" s="4">
        <v>6</v>
      </c>
      <c r="AF739" s="4">
        <v>0</v>
      </c>
      <c r="AG739" s="4">
        <v>4</v>
      </c>
      <c r="AH739" s="4">
        <v>1</v>
      </c>
      <c r="AI739" s="4">
        <v>2</v>
      </c>
      <c r="AJ739" s="4">
        <v>0</v>
      </c>
      <c r="AK739" s="4">
        <v>2</v>
      </c>
      <c r="AL739" s="4">
        <v>0</v>
      </c>
      <c r="AM739" s="4">
        <v>0</v>
      </c>
      <c r="AN739" s="4">
        <v>0</v>
      </c>
      <c r="AO739" s="4">
        <v>0</v>
      </c>
      <c r="AP739" s="3" t="s">
        <v>58</v>
      </c>
      <c r="AQ739" s="3" t="s">
        <v>58</v>
      </c>
      <c r="AS739" s="6" t="str">
        <f>HYPERLINK("https://creighton-primo.hosted.exlibrisgroup.com/primo-explore/search?tab=default_tab&amp;search_scope=EVERYTHING&amp;vid=01CRU&amp;lang=en_US&amp;offset=0&amp;query=any,contains,991000342839702656","Catalog Record")</f>
        <v>Catalog Record</v>
      </c>
      <c r="AT739" s="6" t="str">
        <f>HYPERLINK("http://www.worldcat.org/oclc/49057633","WorldCat Record")</f>
        <v>WorldCat Record</v>
      </c>
    </row>
    <row r="740" spans="1:46" ht="40.5" customHeight="1" x14ac:dyDescent="0.25">
      <c r="A740" s="8" t="s">
        <v>58</v>
      </c>
      <c r="B740" s="2" t="s">
        <v>5068</v>
      </c>
      <c r="C740" s="2" t="s">
        <v>5069</v>
      </c>
      <c r="D740" s="2" t="s">
        <v>5070</v>
      </c>
      <c r="F740" s="3" t="s">
        <v>58</v>
      </c>
      <c r="G740" s="3" t="s">
        <v>59</v>
      </c>
      <c r="H740" s="3" t="s">
        <v>58</v>
      </c>
      <c r="I740" s="3" t="s">
        <v>115</v>
      </c>
      <c r="J740" s="3" t="s">
        <v>59</v>
      </c>
      <c r="L740" s="2" t="s">
        <v>5071</v>
      </c>
      <c r="M740" s="3" t="s">
        <v>572</v>
      </c>
      <c r="O740" s="3" t="s">
        <v>64</v>
      </c>
      <c r="P740" s="3" t="s">
        <v>65</v>
      </c>
      <c r="R740" s="3" t="s">
        <v>1346</v>
      </c>
      <c r="S740" s="4">
        <v>12</v>
      </c>
      <c r="T740" s="4">
        <v>12</v>
      </c>
      <c r="U740" s="5" t="s">
        <v>5072</v>
      </c>
      <c r="V740" s="5" t="s">
        <v>5072</v>
      </c>
      <c r="W740" s="5" t="s">
        <v>5073</v>
      </c>
      <c r="X740" s="5" t="s">
        <v>5073</v>
      </c>
      <c r="Y740" s="4">
        <v>118</v>
      </c>
      <c r="Z740" s="4">
        <v>67</v>
      </c>
      <c r="AA740" s="4">
        <v>139</v>
      </c>
      <c r="AB740" s="4">
        <v>1</v>
      </c>
      <c r="AC740" s="4">
        <v>1</v>
      </c>
      <c r="AD740" s="4">
        <v>4</v>
      </c>
      <c r="AE740" s="4">
        <v>7</v>
      </c>
      <c r="AF740" s="4">
        <v>3</v>
      </c>
      <c r="AG740" s="4">
        <v>4</v>
      </c>
      <c r="AH740" s="4">
        <v>2</v>
      </c>
      <c r="AI740" s="4">
        <v>3</v>
      </c>
      <c r="AJ740" s="4">
        <v>1</v>
      </c>
      <c r="AK740" s="4">
        <v>2</v>
      </c>
      <c r="AL740" s="4">
        <v>0</v>
      </c>
      <c r="AM740" s="4">
        <v>0</v>
      </c>
      <c r="AN740" s="4">
        <v>0</v>
      </c>
      <c r="AO740" s="4">
        <v>0</v>
      </c>
      <c r="AP740" s="3" t="s">
        <v>58</v>
      </c>
      <c r="AQ740" s="3" t="s">
        <v>115</v>
      </c>
      <c r="AR740" s="6" t="str">
        <f>HYPERLINK("http://catalog.hathitrust.org/Record/004298884","HathiTrust Record")</f>
        <v>HathiTrust Record</v>
      </c>
      <c r="AS740" s="6" t="str">
        <f>HYPERLINK("https://creighton-primo.hosted.exlibrisgroup.com/primo-explore/search?tab=default_tab&amp;search_scope=EVERYTHING&amp;vid=01CRU&amp;lang=en_US&amp;offset=0&amp;query=any,contains,991000351499702656","Catalog Record")</f>
        <v>Catalog Record</v>
      </c>
      <c r="AT740" s="6" t="str">
        <f>HYPERLINK("http://www.worldcat.org/oclc/51333617","WorldCat Record")</f>
        <v>WorldCat Record</v>
      </c>
    </row>
    <row r="741" spans="1:46" ht="40.5" customHeight="1" x14ac:dyDescent="0.25">
      <c r="A741" s="8" t="s">
        <v>58</v>
      </c>
      <c r="B741" s="2" t="s">
        <v>5074</v>
      </c>
      <c r="C741" s="2" t="s">
        <v>5075</v>
      </c>
      <c r="D741" s="2" t="s">
        <v>5076</v>
      </c>
      <c r="F741" s="3" t="s">
        <v>58</v>
      </c>
      <c r="G741" s="3" t="s">
        <v>59</v>
      </c>
      <c r="H741" s="3" t="s">
        <v>58</v>
      </c>
      <c r="I741" s="3" t="s">
        <v>58</v>
      </c>
      <c r="J741" s="3" t="s">
        <v>60</v>
      </c>
      <c r="L741" s="2" t="s">
        <v>5077</v>
      </c>
      <c r="M741" s="3" t="s">
        <v>380</v>
      </c>
      <c r="O741" s="3" t="s">
        <v>64</v>
      </c>
      <c r="P741" s="3" t="s">
        <v>65</v>
      </c>
      <c r="R741" s="3" t="s">
        <v>1346</v>
      </c>
      <c r="S741" s="4">
        <v>7</v>
      </c>
      <c r="T741" s="4">
        <v>7</v>
      </c>
      <c r="U741" s="5" t="s">
        <v>1632</v>
      </c>
      <c r="V741" s="5" t="s">
        <v>1632</v>
      </c>
      <c r="W741" s="5" t="s">
        <v>5078</v>
      </c>
      <c r="X741" s="5" t="s">
        <v>5078</v>
      </c>
      <c r="Y741" s="4">
        <v>153</v>
      </c>
      <c r="Z741" s="4">
        <v>88</v>
      </c>
      <c r="AA741" s="4">
        <v>114</v>
      </c>
      <c r="AB741" s="4">
        <v>1</v>
      </c>
      <c r="AC741" s="4">
        <v>2</v>
      </c>
      <c r="AD741" s="4">
        <v>6</v>
      </c>
      <c r="AE741" s="4">
        <v>7</v>
      </c>
      <c r="AF741" s="4">
        <v>4</v>
      </c>
      <c r="AG741" s="4">
        <v>4</v>
      </c>
      <c r="AH741" s="4">
        <v>2</v>
      </c>
      <c r="AI741" s="4">
        <v>2</v>
      </c>
      <c r="AJ741" s="4">
        <v>2</v>
      </c>
      <c r="AK741" s="4">
        <v>2</v>
      </c>
      <c r="AL741" s="4">
        <v>0</v>
      </c>
      <c r="AM741" s="4">
        <v>1</v>
      </c>
      <c r="AN741" s="4">
        <v>0</v>
      </c>
      <c r="AO741" s="4">
        <v>0</v>
      </c>
      <c r="AP741" s="3" t="s">
        <v>58</v>
      </c>
      <c r="AQ741" s="3" t="s">
        <v>115</v>
      </c>
      <c r="AR741" s="6" t="str">
        <f>HYPERLINK("http://catalog.hathitrust.org/Record/002789633","HathiTrust Record")</f>
        <v>HathiTrust Record</v>
      </c>
      <c r="AS741" s="6" t="str">
        <f>HYPERLINK("https://creighton-primo.hosted.exlibrisgroup.com/primo-explore/search?tab=default_tab&amp;search_scope=EVERYTHING&amp;vid=01CRU&amp;lang=en_US&amp;offset=0&amp;query=any,contains,991001481229702656","Catalog Record")</f>
        <v>Catalog Record</v>
      </c>
      <c r="AT741" s="6" t="str">
        <f>HYPERLINK("http://www.worldcat.org/oclc/26163629","WorldCat Record")</f>
        <v>WorldCat Record</v>
      </c>
    </row>
    <row r="742" spans="1:46" ht="40.5" customHeight="1" x14ac:dyDescent="0.25">
      <c r="A742" s="8" t="s">
        <v>58</v>
      </c>
      <c r="B742" s="2" t="s">
        <v>5079</v>
      </c>
      <c r="C742" s="2" t="s">
        <v>5080</v>
      </c>
      <c r="D742" s="2" t="s">
        <v>5081</v>
      </c>
      <c r="F742" s="3" t="s">
        <v>58</v>
      </c>
      <c r="G742" s="3" t="s">
        <v>59</v>
      </c>
      <c r="H742" s="3" t="s">
        <v>58</v>
      </c>
      <c r="I742" s="3" t="s">
        <v>58</v>
      </c>
      <c r="J742" s="3" t="s">
        <v>60</v>
      </c>
      <c r="K742" s="2" t="s">
        <v>5082</v>
      </c>
      <c r="L742" s="2" t="s">
        <v>5083</v>
      </c>
      <c r="M742" s="3" t="s">
        <v>2027</v>
      </c>
      <c r="N742" s="2" t="s">
        <v>221</v>
      </c>
      <c r="O742" s="3" t="s">
        <v>64</v>
      </c>
      <c r="P742" s="3" t="s">
        <v>5084</v>
      </c>
      <c r="R742" s="3" t="s">
        <v>1346</v>
      </c>
      <c r="S742" s="4">
        <v>3</v>
      </c>
      <c r="T742" s="4">
        <v>3</v>
      </c>
      <c r="U742" s="5" t="s">
        <v>1347</v>
      </c>
      <c r="V742" s="5" t="s">
        <v>1347</v>
      </c>
      <c r="W742" s="5" t="s">
        <v>3704</v>
      </c>
      <c r="X742" s="5" t="s">
        <v>3704</v>
      </c>
      <c r="Y742" s="4">
        <v>43</v>
      </c>
      <c r="Z742" s="4">
        <v>36</v>
      </c>
      <c r="AA742" s="4">
        <v>87</v>
      </c>
      <c r="AB742" s="4">
        <v>1</v>
      </c>
      <c r="AC742" s="4">
        <v>2</v>
      </c>
      <c r="AD742" s="4">
        <v>3</v>
      </c>
      <c r="AE742" s="4">
        <v>5</v>
      </c>
      <c r="AF742" s="4">
        <v>2</v>
      </c>
      <c r="AG742" s="4">
        <v>3</v>
      </c>
      <c r="AH742" s="4">
        <v>1</v>
      </c>
      <c r="AI742" s="4">
        <v>2</v>
      </c>
      <c r="AJ742" s="4">
        <v>0</v>
      </c>
      <c r="AK742" s="4">
        <v>0</v>
      </c>
      <c r="AL742" s="4">
        <v>0</v>
      </c>
      <c r="AM742" s="4">
        <v>1</v>
      </c>
      <c r="AN742" s="4">
        <v>0</v>
      </c>
      <c r="AO742" s="4">
        <v>0</v>
      </c>
      <c r="AP742" s="3" t="s">
        <v>58</v>
      </c>
      <c r="AQ742" s="3" t="s">
        <v>58</v>
      </c>
      <c r="AS742" s="6" t="str">
        <f>HYPERLINK("https://creighton-primo.hosted.exlibrisgroup.com/primo-explore/search?tab=default_tab&amp;search_scope=EVERYTHING&amp;vid=01CRU&amp;lang=en_US&amp;offset=0&amp;query=any,contains,991000994729702656","Catalog Record")</f>
        <v>Catalog Record</v>
      </c>
      <c r="AT742" s="6" t="str">
        <f>HYPERLINK("http://www.worldcat.org/oclc/3590270","WorldCat Record")</f>
        <v>WorldCat Record</v>
      </c>
    </row>
    <row r="743" spans="1:46" ht="40.5" customHeight="1" x14ac:dyDescent="0.25">
      <c r="A743" s="8" t="s">
        <v>58</v>
      </c>
      <c r="B743" s="2" t="s">
        <v>5085</v>
      </c>
      <c r="C743" s="2" t="s">
        <v>5086</v>
      </c>
      <c r="D743" s="2" t="s">
        <v>5087</v>
      </c>
      <c r="F743" s="3" t="s">
        <v>58</v>
      </c>
      <c r="G743" s="3" t="s">
        <v>1440</v>
      </c>
      <c r="H743" s="3" t="s">
        <v>58</v>
      </c>
      <c r="I743" s="3" t="s">
        <v>115</v>
      </c>
      <c r="J743" s="3" t="s">
        <v>60</v>
      </c>
      <c r="L743" s="2" t="s">
        <v>5088</v>
      </c>
      <c r="M743" s="3" t="s">
        <v>173</v>
      </c>
      <c r="O743" s="3" t="s">
        <v>64</v>
      </c>
      <c r="P743" s="3" t="s">
        <v>643</v>
      </c>
      <c r="R743" s="3" t="s">
        <v>1346</v>
      </c>
      <c r="S743" s="4">
        <v>50</v>
      </c>
      <c r="T743" s="4">
        <v>50</v>
      </c>
      <c r="U743" s="5" t="s">
        <v>5089</v>
      </c>
      <c r="V743" s="5" t="s">
        <v>5089</v>
      </c>
      <c r="W743" s="5" t="s">
        <v>5090</v>
      </c>
      <c r="X743" s="5" t="s">
        <v>5090</v>
      </c>
      <c r="Y743" s="4">
        <v>33</v>
      </c>
      <c r="Z743" s="4">
        <v>29</v>
      </c>
      <c r="AA743" s="4">
        <v>57</v>
      </c>
      <c r="AB743" s="4">
        <v>1</v>
      </c>
      <c r="AC743" s="4">
        <v>1</v>
      </c>
      <c r="AD743" s="4">
        <v>1</v>
      </c>
      <c r="AE743" s="4">
        <v>3</v>
      </c>
      <c r="AF743" s="4">
        <v>1</v>
      </c>
      <c r="AG743" s="4">
        <v>2</v>
      </c>
      <c r="AH743" s="4">
        <v>0</v>
      </c>
      <c r="AI743" s="4">
        <v>2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0</v>
      </c>
      <c r="AP743" s="3" t="s">
        <v>58</v>
      </c>
      <c r="AQ743" s="3" t="s">
        <v>115</v>
      </c>
      <c r="AR743" s="6" t="str">
        <f>HYPERLINK("http://catalog.hathitrust.org/Record/003055121","HathiTrust Record")</f>
        <v>HathiTrust Record</v>
      </c>
      <c r="AS743" s="6" t="str">
        <f>HYPERLINK("https://creighton-primo.hosted.exlibrisgroup.com/primo-explore/search?tab=default_tab&amp;search_scope=EVERYTHING&amp;vid=01CRU&amp;lang=en_US&amp;offset=0&amp;query=any,contains,991000666489702656","Catalog Record")</f>
        <v>Catalog Record</v>
      </c>
      <c r="AT743" s="6" t="str">
        <f>HYPERLINK("http://www.worldcat.org/oclc/33234995","WorldCat Record")</f>
        <v>WorldCat Record</v>
      </c>
    </row>
    <row r="744" spans="1:46" ht="40.5" customHeight="1" x14ac:dyDescent="0.25">
      <c r="A744" s="8" t="s">
        <v>58</v>
      </c>
      <c r="B744" s="2" t="s">
        <v>5091</v>
      </c>
      <c r="C744" s="2" t="s">
        <v>5092</v>
      </c>
      <c r="D744" s="2" t="s">
        <v>5087</v>
      </c>
      <c r="F744" s="3" t="s">
        <v>58</v>
      </c>
      <c r="G744" s="3" t="s">
        <v>59</v>
      </c>
      <c r="H744" s="3" t="s">
        <v>58</v>
      </c>
      <c r="I744" s="3" t="s">
        <v>115</v>
      </c>
      <c r="J744" s="3" t="s">
        <v>60</v>
      </c>
      <c r="L744" s="2" t="s">
        <v>5093</v>
      </c>
      <c r="M744" s="3" t="s">
        <v>1925</v>
      </c>
      <c r="N744" s="2" t="s">
        <v>5094</v>
      </c>
      <c r="O744" s="3" t="s">
        <v>64</v>
      </c>
      <c r="P744" s="3" t="s">
        <v>643</v>
      </c>
      <c r="R744" s="3" t="s">
        <v>1346</v>
      </c>
      <c r="S744" s="4">
        <v>14</v>
      </c>
      <c r="T744" s="4">
        <v>14</v>
      </c>
      <c r="U744" s="5" t="s">
        <v>5095</v>
      </c>
      <c r="V744" s="5" t="s">
        <v>5095</v>
      </c>
      <c r="W744" s="5" t="s">
        <v>5096</v>
      </c>
      <c r="X744" s="5" t="s">
        <v>5096</v>
      </c>
      <c r="Y744" s="4">
        <v>44</v>
      </c>
      <c r="Z744" s="4">
        <v>32</v>
      </c>
      <c r="AA744" s="4">
        <v>57</v>
      </c>
      <c r="AB744" s="4">
        <v>1</v>
      </c>
      <c r="AC744" s="4">
        <v>1</v>
      </c>
      <c r="AD744" s="4">
        <v>2</v>
      </c>
      <c r="AE744" s="4">
        <v>3</v>
      </c>
      <c r="AF744" s="4">
        <v>1</v>
      </c>
      <c r="AG744" s="4">
        <v>2</v>
      </c>
      <c r="AH744" s="4">
        <v>2</v>
      </c>
      <c r="AI744" s="4">
        <v>2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0</v>
      </c>
      <c r="AP744" s="3" t="s">
        <v>58</v>
      </c>
      <c r="AQ744" s="3" t="s">
        <v>58</v>
      </c>
      <c r="AS744" s="6" t="str">
        <f>HYPERLINK("https://creighton-primo.hosted.exlibrisgroup.com/primo-explore/search?tab=default_tab&amp;search_scope=EVERYTHING&amp;vid=01CRU&amp;lang=en_US&amp;offset=0&amp;query=any,contains,991000329439702656","Catalog Record")</f>
        <v>Catalog Record</v>
      </c>
      <c r="AT744" s="6" t="str">
        <f>HYPERLINK("http://www.worldcat.org/oclc/48547984","WorldCat Record")</f>
        <v>WorldCat Record</v>
      </c>
    </row>
    <row r="745" spans="1:46" ht="40.5" customHeight="1" x14ac:dyDescent="0.25">
      <c r="A745" s="8" t="s">
        <v>58</v>
      </c>
      <c r="B745" s="2" t="s">
        <v>5097</v>
      </c>
      <c r="C745" s="2" t="s">
        <v>5098</v>
      </c>
      <c r="D745" s="2" t="s">
        <v>5099</v>
      </c>
      <c r="F745" s="3" t="s">
        <v>58</v>
      </c>
      <c r="G745" s="3" t="s">
        <v>59</v>
      </c>
      <c r="H745" s="3" t="s">
        <v>58</v>
      </c>
      <c r="I745" s="3" t="s">
        <v>58</v>
      </c>
      <c r="J745" s="3" t="s">
        <v>60</v>
      </c>
      <c r="K745" s="2" t="s">
        <v>5100</v>
      </c>
      <c r="L745" s="2" t="s">
        <v>5101</v>
      </c>
      <c r="M745" s="3" t="s">
        <v>1177</v>
      </c>
      <c r="N745" s="2" t="s">
        <v>143</v>
      </c>
      <c r="O745" s="3" t="s">
        <v>64</v>
      </c>
      <c r="P745" s="3" t="s">
        <v>65</v>
      </c>
      <c r="R745" s="3" t="s">
        <v>1346</v>
      </c>
      <c r="S745" s="4">
        <v>5</v>
      </c>
      <c r="T745" s="4">
        <v>5</v>
      </c>
      <c r="U745" s="5" t="s">
        <v>5102</v>
      </c>
      <c r="V745" s="5" t="s">
        <v>5102</v>
      </c>
      <c r="W745" s="5" t="s">
        <v>2335</v>
      </c>
      <c r="X745" s="5" t="s">
        <v>2335</v>
      </c>
      <c r="Y745" s="4">
        <v>139</v>
      </c>
      <c r="Z745" s="4">
        <v>107</v>
      </c>
      <c r="AA745" s="4">
        <v>208</v>
      </c>
      <c r="AB745" s="4">
        <v>1</v>
      </c>
      <c r="AC745" s="4">
        <v>2</v>
      </c>
      <c r="AD745" s="4">
        <v>0</v>
      </c>
      <c r="AE745" s="4">
        <v>4</v>
      </c>
      <c r="AF745" s="4">
        <v>0</v>
      </c>
      <c r="AG745" s="4">
        <v>2</v>
      </c>
      <c r="AH745" s="4">
        <v>0</v>
      </c>
      <c r="AI745" s="4">
        <v>1</v>
      </c>
      <c r="AJ745" s="4">
        <v>0</v>
      </c>
      <c r="AK745" s="4">
        <v>2</v>
      </c>
      <c r="AL745" s="4">
        <v>0</v>
      </c>
      <c r="AM745" s="4">
        <v>1</v>
      </c>
      <c r="AN745" s="4">
        <v>0</v>
      </c>
      <c r="AO745" s="4">
        <v>0</v>
      </c>
      <c r="AP745" s="3" t="s">
        <v>58</v>
      </c>
      <c r="AQ745" s="3" t="s">
        <v>115</v>
      </c>
      <c r="AR745" s="6" t="str">
        <f>HYPERLINK("http://catalog.hathitrust.org/Record/000595883","HathiTrust Record")</f>
        <v>HathiTrust Record</v>
      </c>
      <c r="AS745" s="6" t="str">
        <f>HYPERLINK("https://creighton-primo.hosted.exlibrisgroup.com/primo-explore/search?tab=default_tab&amp;search_scope=EVERYTHING&amp;vid=01CRU&amp;lang=en_US&amp;offset=0&amp;query=any,contains,991000994539702656","Catalog Record")</f>
        <v>Catalog Record</v>
      </c>
      <c r="AT745" s="6" t="str">
        <f>HYPERLINK("http://www.worldcat.org/oclc/13643625","WorldCat Record")</f>
        <v>WorldCat Record</v>
      </c>
    </row>
    <row r="746" spans="1:46" ht="40.5" customHeight="1" x14ac:dyDescent="0.25">
      <c r="A746" s="8" t="s">
        <v>58</v>
      </c>
      <c r="B746" s="2" t="s">
        <v>5103</v>
      </c>
      <c r="C746" s="2" t="s">
        <v>5104</v>
      </c>
      <c r="D746" s="2" t="s">
        <v>5105</v>
      </c>
      <c r="F746" s="3" t="s">
        <v>58</v>
      </c>
      <c r="G746" s="3" t="s">
        <v>59</v>
      </c>
      <c r="H746" s="3" t="s">
        <v>58</v>
      </c>
      <c r="I746" s="3" t="s">
        <v>58</v>
      </c>
      <c r="J746" s="3" t="s">
        <v>60</v>
      </c>
      <c r="L746" s="2" t="s">
        <v>5106</v>
      </c>
      <c r="M746" s="3" t="s">
        <v>468</v>
      </c>
      <c r="O746" s="3" t="s">
        <v>64</v>
      </c>
      <c r="P746" s="3" t="s">
        <v>613</v>
      </c>
      <c r="R746" s="3" t="s">
        <v>1346</v>
      </c>
      <c r="S746" s="4">
        <v>11</v>
      </c>
      <c r="T746" s="4">
        <v>11</v>
      </c>
      <c r="U746" s="5" t="s">
        <v>5107</v>
      </c>
      <c r="V746" s="5" t="s">
        <v>5107</v>
      </c>
      <c r="W746" s="5" t="s">
        <v>5108</v>
      </c>
      <c r="X746" s="5" t="s">
        <v>5108</v>
      </c>
      <c r="Y746" s="4">
        <v>139</v>
      </c>
      <c r="Z746" s="4">
        <v>80</v>
      </c>
      <c r="AA746" s="4">
        <v>105</v>
      </c>
      <c r="AB746" s="4">
        <v>2</v>
      </c>
      <c r="AC746" s="4">
        <v>2</v>
      </c>
      <c r="AD746" s="4">
        <v>5</v>
      </c>
      <c r="AE746" s="4">
        <v>6</v>
      </c>
      <c r="AF746" s="4">
        <v>4</v>
      </c>
      <c r="AG746" s="4">
        <v>4</v>
      </c>
      <c r="AH746" s="4">
        <v>1</v>
      </c>
      <c r="AI746" s="4">
        <v>1</v>
      </c>
      <c r="AJ746" s="4">
        <v>0</v>
      </c>
      <c r="AK746" s="4">
        <v>1</v>
      </c>
      <c r="AL746" s="4">
        <v>1</v>
      </c>
      <c r="AM746" s="4">
        <v>1</v>
      </c>
      <c r="AN746" s="4">
        <v>0</v>
      </c>
      <c r="AO746" s="4">
        <v>0</v>
      </c>
      <c r="AP746" s="3" t="s">
        <v>58</v>
      </c>
      <c r="AQ746" s="3" t="s">
        <v>58</v>
      </c>
      <c r="AS746" s="6" t="str">
        <f>HYPERLINK("https://creighton-primo.hosted.exlibrisgroup.com/primo-explore/search?tab=default_tab&amp;search_scope=EVERYTHING&amp;vid=01CRU&amp;lang=en_US&amp;offset=0&amp;query=any,contains,991000430989702656","Catalog Record")</f>
        <v>Catalog Record</v>
      </c>
      <c r="AT746" s="6" t="str">
        <f>HYPERLINK("http://www.worldcat.org/oclc/50858958","WorldCat Record")</f>
        <v>WorldCat Record</v>
      </c>
    </row>
    <row r="747" spans="1:46" ht="40.5" customHeight="1" x14ac:dyDescent="0.25">
      <c r="A747" s="8" t="s">
        <v>58</v>
      </c>
      <c r="B747" s="2" t="s">
        <v>5109</v>
      </c>
      <c r="C747" s="2" t="s">
        <v>5110</v>
      </c>
      <c r="D747" s="2" t="s">
        <v>5111</v>
      </c>
      <c r="F747" s="3" t="s">
        <v>58</v>
      </c>
      <c r="G747" s="3" t="s">
        <v>59</v>
      </c>
      <c r="H747" s="3" t="s">
        <v>58</v>
      </c>
      <c r="I747" s="3" t="s">
        <v>115</v>
      </c>
      <c r="J747" s="3" t="s">
        <v>60</v>
      </c>
      <c r="K747" s="2" t="s">
        <v>5112</v>
      </c>
      <c r="L747" s="2" t="s">
        <v>5113</v>
      </c>
      <c r="M747" s="3" t="s">
        <v>1177</v>
      </c>
      <c r="N747" s="2" t="s">
        <v>936</v>
      </c>
      <c r="O747" s="3" t="s">
        <v>64</v>
      </c>
      <c r="P747" s="3" t="s">
        <v>1355</v>
      </c>
      <c r="R747" s="3" t="s">
        <v>1346</v>
      </c>
      <c r="S747" s="4">
        <v>55</v>
      </c>
      <c r="T747" s="4">
        <v>55</v>
      </c>
      <c r="U747" s="5" t="s">
        <v>5114</v>
      </c>
      <c r="V747" s="5" t="s">
        <v>5114</v>
      </c>
      <c r="W747" s="5" t="s">
        <v>2719</v>
      </c>
      <c r="X747" s="5" t="s">
        <v>2719</v>
      </c>
      <c r="Y747" s="4">
        <v>116</v>
      </c>
      <c r="Z747" s="4">
        <v>89</v>
      </c>
      <c r="AA747" s="4">
        <v>187</v>
      </c>
      <c r="AB747" s="4">
        <v>2</v>
      </c>
      <c r="AC747" s="4">
        <v>2</v>
      </c>
      <c r="AD747" s="4">
        <v>4</v>
      </c>
      <c r="AE747" s="4">
        <v>6</v>
      </c>
      <c r="AF747" s="4">
        <v>2</v>
      </c>
      <c r="AG747" s="4">
        <v>4</v>
      </c>
      <c r="AH747" s="4">
        <v>1</v>
      </c>
      <c r="AI747" s="4">
        <v>2</v>
      </c>
      <c r="AJ747" s="4">
        <v>0</v>
      </c>
      <c r="AK747" s="4">
        <v>0</v>
      </c>
      <c r="AL747" s="4">
        <v>1</v>
      </c>
      <c r="AM747" s="4">
        <v>1</v>
      </c>
      <c r="AN747" s="4">
        <v>0</v>
      </c>
      <c r="AO747" s="4">
        <v>0</v>
      </c>
      <c r="AP747" s="3" t="s">
        <v>58</v>
      </c>
      <c r="AQ747" s="3" t="s">
        <v>115</v>
      </c>
      <c r="AR747" s="6" t="str">
        <f>HYPERLINK("http://catalog.hathitrust.org/Record/000830937","HathiTrust Record")</f>
        <v>HathiTrust Record</v>
      </c>
      <c r="AS747" s="6" t="str">
        <f>HYPERLINK("https://creighton-primo.hosted.exlibrisgroup.com/primo-explore/search?tab=default_tab&amp;search_scope=EVERYTHING&amp;vid=01CRU&amp;lang=en_US&amp;offset=0&amp;query=any,contains,991001452089702656","Catalog Record")</f>
        <v>Catalog Record</v>
      </c>
      <c r="AT747" s="6" t="str">
        <f>HYPERLINK("http://www.worldcat.org/oclc/14242644","WorldCat Record")</f>
        <v>WorldCat Record</v>
      </c>
    </row>
    <row r="748" spans="1:46" ht="40.5" customHeight="1" x14ac:dyDescent="0.25">
      <c r="A748" s="8" t="s">
        <v>58</v>
      </c>
      <c r="B748" s="2" t="s">
        <v>5115</v>
      </c>
      <c r="C748" s="2" t="s">
        <v>5116</v>
      </c>
      <c r="D748" s="2" t="s">
        <v>5117</v>
      </c>
      <c r="F748" s="3" t="s">
        <v>58</v>
      </c>
      <c r="G748" s="3" t="s">
        <v>59</v>
      </c>
      <c r="H748" s="3" t="s">
        <v>58</v>
      </c>
      <c r="I748" s="3" t="s">
        <v>115</v>
      </c>
      <c r="J748" s="3" t="s">
        <v>60</v>
      </c>
      <c r="K748" s="2" t="s">
        <v>5112</v>
      </c>
      <c r="L748" s="2" t="s">
        <v>1998</v>
      </c>
      <c r="M748" s="3" t="s">
        <v>424</v>
      </c>
      <c r="N748" s="2" t="s">
        <v>221</v>
      </c>
      <c r="O748" s="3" t="s">
        <v>64</v>
      </c>
      <c r="P748" s="3" t="s">
        <v>144</v>
      </c>
      <c r="R748" s="3" t="s">
        <v>1346</v>
      </c>
      <c r="S748" s="4">
        <v>137</v>
      </c>
      <c r="T748" s="4">
        <v>137</v>
      </c>
      <c r="U748" s="5" t="s">
        <v>5118</v>
      </c>
      <c r="V748" s="5" t="s">
        <v>5118</v>
      </c>
      <c r="W748" s="5" t="s">
        <v>1576</v>
      </c>
      <c r="X748" s="5" t="s">
        <v>1576</v>
      </c>
      <c r="Y748" s="4">
        <v>107</v>
      </c>
      <c r="Z748" s="4">
        <v>76</v>
      </c>
      <c r="AA748" s="4">
        <v>187</v>
      </c>
      <c r="AB748" s="4">
        <v>1</v>
      </c>
      <c r="AC748" s="4">
        <v>2</v>
      </c>
      <c r="AD748" s="4">
        <v>5</v>
      </c>
      <c r="AE748" s="4">
        <v>6</v>
      </c>
      <c r="AF748" s="4">
        <v>4</v>
      </c>
      <c r="AG748" s="4">
        <v>4</v>
      </c>
      <c r="AH748" s="4">
        <v>2</v>
      </c>
      <c r="AI748" s="4">
        <v>2</v>
      </c>
      <c r="AJ748" s="4">
        <v>0</v>
      </c>
      <c r="AK748" s="4">
        <v>0</v>
      </c>
      <c r="AL748" s="4">
        <v>0</v>
      </c>
      <c r="AM748" s="4">
        <v>1</v>
      </c>
      <c r="AN748" s="4">
        <v>0</v>
      </c>
      <c r="AO748" s="4">
        <v>0</v>
      </c>
      <c r="AP748" s="3" t="s">
        <v>58</v>
      </c>
      <c r="AQ748" s="3" t="s">
        <v>115</v>
      </c>
      <c r="AR748" s="6" t="str">
        <f>HYPERLINK("http://catalog.hathitrust.org/Record/002780532","HathiTrust Record")</f>
        <v>HathiTrust Record</v>
      </c>
      <c r="AS748" s="6" t="str">
        <f>HYPERLINK("https://creighton-primo.hosted.exlibrisgroup.com/primo-explore/search?tab=default_tab&amp;search_scope=EVERYTHING&amp;vid=01CRU&amp;lang=en_US&amp;offset=0&amp;query=any,contains,991001487229702656","Catalog Record")</f>
        <v>Catalog Record</v>
      </c>
      <c r="AT748" s="6" t="str">
        <f>HYPERLINK("http://www.worldcat.org/oclc/28427868","WorldCat Record")</f>
        <v>WorldCat Record</v>
      </c>
    </row>
    <row r="749" spans="1:46" ht="40.5" customHeight="1" x14ac:dyDescent="0.25">
      <c r="A749" s="8" t="s">
        <v>58</v>
      </c>
      <c r="B749" s="2" t="s">
        <v>5119</v>
      </c>
      <c r="C749" s="2" t="s">
        <v>5120</v>
      </c>
      <c r="D749" s="2" t="s">
        <v>5121</v>
      </c>
      <c r="F749" s="3" t="s">
        <v>58</v>
      </c>
      <c r="G749" s="3" t="s">
        <v>59</v>
      </c>
      <c r="H749" s="3" t="s">
        <v>58</v>
      </c>
      <c r="I749" s="3" t="s">
        <v>115</v>
      </c>
      <c r="J749" s="3" t="s">
        <v>60</v>
      </c>
      <c r="K749" s="2" t="s">
        <v>5122</v>
      </c>
      <c r="L749" s="2" t="s">
        <v>5123</v>
      </c>
      <c r="M749" s="3" t="s">
        <v>1122</v>
      </c>
      <c r="N749" s="2" t="s">
        <v>1362</v>
      </c>
      <c r="O749" s="3" t="s">
        <v>64</v>
      </c>
      <c r="P749" s="3" t="s">
        <v>1355</v>
      </c>
      <c r="R749" s="3" t="s">
        <v>1346</v>
      </c>
      <c r="S749" s="4">
        <v>18</v>
      </c>
      <c r="T749" s="4">
        <v>18</v>
      </c>
      <c r="U749" s="5" t="s">
        <v>5124</v>
      </c>
      <c r="V749" s="5" t="s">
        <v>5124</v>
      </c>
      <c r="W749" s="5" t="s">
        <v>1505</v>
      </c>
      <c r="X749" s="5" t="s">
        <v>1505</v>
      </c>
      <c r="Y749" s="4">
        <v>124</v>
      </c>
      <c r="Z749" s="4">
        <v>79</v>
      </c>
      <c r="AA749" s="4">
        <v>157</v>
      </c>
      <c r="AB749" s="4">
        <v>1</v>
      </c>
      <c r="AC749" s="4">
        <v>1</v>
      </c>
      <c r="AD749" s="4">
        <v>3</v>
      </c>
      <c r="AE749" s="4">
        <v>5</v>
      </c>
      <c r="AF749" s="4">
        <v>3</v>
      </c>
      <c r="AG749" s="4">
        <v>3</v>
      </c>
      <c r="AH749" s="4">
        <v>1</v>
      </c>
      <c r="AI749" s="4">
        <v>2</v>
      </c>
      <c r="AJ749" s="4">
        <v>0</v>
      </c>
      <c r="AK749" s="4">
        <v>1</v>
      </c>
      <c r="AL749" s="4">
        <v>0</v>
      </c>
      <c r="AM749" s="4">
        <v>0</v>
      </c>
      <c r="AN749" s="4">
        <v>0</v>
      </c>
      <c r="AO749" s="4">
        <v>0</v>
      </c>
      <c r="AP749" s="3" t="s">
        <v>58</v>
      </c>
      <c r="AQ749" s="3" t="s">
        <v>58</v>
      </c>
      <c r="AS749" s="6" t="str">
        <f>HYPERLINK("https://creighton-primo.hosted.exlibrisgroup.com/primo-explore/search?tab=default_tab&amp;search_scope=EVERYTHING&amp;vid=01CRU&amp;lang=en_US&amp;offset=0&amp;query=any,contains,991001452419702656","Catalog Record")</f>
        <v>Catalog Record</v>
      </c>
      <c r="AT749" s="6" t="str">
        <f>HYPERLINK("http://www.worldcat.org/oclc/19739330","WorldCat Record")</f>
        <v>WorldCat Record</v>
      </c>
    </row>
    <row r="750" spans="1:46" ht="40.5" customHeight="1" x14ac:dyDescent="0.25">
      <c r="A750" s="8" t="s">
        <v>58</v>
      </c>
      <c r="B750" s="2" t="s">
        <v>5125</v>
      </c>
      <c r="C750" s="2" t="s">
        <v>5126</v>
      </c>
      <c r="D750" s="2" t="s">
        <v>5127</v>
      </c>
      <c r="F750" s="3" t="s">
        <v>58</v>
      </c>
      <c r="G750" s="3" t="s">
        <v>59</v>
      </c>
      <c r="H750" s="3" t="s">
        <v>58</v>
      </c>
      <c r="I750" s="3" t="s">
        <v>115</v>
      </c>
      <c r="J750" s="3" t="s">
        <v>60</v>
      </c>
      <c r="K750" s="2" t="s">
        <v>5122</v>
      </c>
      <c r="L750" s="2" t="s">
        <v>5128</v>
      </c>
      <c r="M750" s="3" t="s">
        <v>993</v>
      </c>
      <c r="N750" s="2" t="s">
        <v>1893</v>
      </c>
      <c r="O750" s="3" t="s">
        <v>64</v>
      </c>
      <c r="P750" s="3" t="s">
        <v>144</v>
      </c>
      <c r="R750" s="3" t="s">
        <v>1346</v>
      </c>
      <c r="S750" s="4">
        <v>35</v>
      </c>
      <c r="T750" s="4">
        <v>35</v>
      </c>
      <c r="U750" s="5" t="s">
        <v>5129</v>
      </c>
      <c r="V750" s="5" t="s">
        <v>5129</v>
      </c>
      <c r="W750" s="5" t="s">
        <v>5130</v>
      </c>
      <c r="X750" s="5" t="s">
        <v>5130</v>
      </c>
      <c r="Y750" s="4">
        <v>154</v>
      </c>
      <c r="Z750" s="4">
        <v>93</v>
      </c>
      <c r="AA750" s="4">
        <v>157</v>
      </c>
      <c r="AB750" s="4">
        <v>1</v>
      </c>
      <c r="AC750" s="4">
        <v>1</v>
      </c>
      <c r="AD750" s="4">
        <v>2</v>
      </c>
      <c r="AE750" s="4">
        <v>5</v>
      </c>
      <c r="AF750" s="4">
        <v>0</v>
      </c>
      <c r="AG750" s="4">
        <v>3</v>
      </c>
      <c r="AH750" s="4">
        <v>1</v>
      </c>
      <c r="AI750" s="4">
        <v>2</v>
      </c>
      <c r="AJ750" s="4">
        <v>1</v>
      </c>
      <c r="AK750" s="4">
        <v>1</v>
      </c>
      <c r="AL750" s="4">
        <v>0</v>
      </c>
      <c r="AM750" s="4">
        <v>0</v>
      </c>
      <c r="AN750" s="4">
        <v>0</v>
      </c>
      <c r="AO750" s="4">
        <v>0</v>
      </c>
      <c r="AP750" s="3" t="s">
        <v>58</v>
      </c>
      <c r="AQ750" s="3" t="s">
        <v>58</v>
      </c>
      <c r="AS750" s="6" t="str">
        <f>HYPERLINK("https://creighton-primo.hosted.exlibrisgroup.com/primo-explore/search?tab=default_tab&amp;search_scope=EVERYTHING&amp;vid=01CRU&amp;lang=en_US&amp;offset=0&amp;query=any,contains,991001408449702656","Catalog Record")</f>
        <v>Catalog Record</v>
      </c>
      <c r="AT750" s="6" t="str">
        <f>HYPERLINK("http://www.worldcat.org/oclc/40881470","WorldCat Record")</f>
        <v>WorldCat Record</v>
      </c>
    </row>
    <row r="751" spans="1:46" ht="40.5" customHeight="1" x14ac:dyDescent="0.25">
      <c r="A751" s="8" t="s">
        <v>58</v>
      </c>
      <c r="B751" s="2" t="s">
        <v>5131</v>
      </c>
      <c r="C751" s="2" t="s">
        <v>5132</v>
      </c>
      <c r="D751" s="2" t="s">
        <v>5133</v>
      </c>
      <c r="F751" s="3" t="s">
        <v>58</v>
      </c>
      <c r="G751" s="3" t="s">
        <v>59</v>
      </c>
      <c r="H751" s="3" t="s">
        <v>58</v>
      </c>
      <c r="I751" s="3" t="s">
        <v>58</v>
      </c>
      <c r="J751" s="3" t="s">
        <v>60</v>
      </c>
      <c r="L751" s="2" t="s">
        <v>5134</v>
      </c>
      <c r="M751" s="3" t="s">
        <v>1122</v>
      </c>
      <c r="O751" s="3" t="s">
        <v>64</v>
      </c>
      <c r="P751" s="3" t="s">
        <v>1355</v>
      </c>
      <c r="R751" s="3" t="s">
        <v>1346</v>
      </c>
      <c r="S751" s="4">
        <v>13</v>
      </c>
      <c r="T751" s="4">
        <v>13</v>
      </c>
      <c r="U751" s="5" t="s">
        <v>2436</v>
      </c>
      <c r="V751" s="5" t="s">
        <v>2436</v>
      </c>
      <c r="W751" s="5" t="s">
        <v>1505</v>
      </c>
      <c r="X751" s="5" t="s">
        <v>1505</v>
      </c>
      <c r="Y751" s="4">
        <v>102</v>
      </c>
      <c r="Z751" s="4">
        <v>75</v>
      </c>
      <c r="AA751" s="4">
        <v>75</v>
      </c>
      <c r="AB751" s="4">
        <v>1</v>
      </c>
      <c r="AC751" s="4">
        <v>1</v>
      </c>
      <c r="AD751" s="4">
        <v>2</v>
      </c>
      <c r="AE751" s="4">
        <v>2</v>
      </c>
      <c r="AF751" s="4">
        <v>0</v>
      </c>
      <c r="AG751" s="4">
        <v>0</v>
      </c>
      <c r="AH751" s="4">
        <v>2</v>
      </c>
      <c r="AI751" s="4">
        <v>2</v>
      </c>
      <c r="AJ751" s="4">
        <v>0</v>
      </c>
      <c r="AK751" s="4">
        <v>0</v>
      </c>
      <c r="AL751" s="4">
        <v>0</v>
      </c>
      <c r="AM751" s="4">
        <v>0</v>
      </c>
      <c r="AN751" s="4">
        <v>0</v>
      </c>
      <c r="AO751" s="4">
        <v>0</v>
      </c>
      <c r="AP751" s="3" t="s">
        <v>58</v>
      </c>
      <c r="AQ751" s="3" t="s">
        <v>58</v>
      </c>
      <c r="AS751" s="6" t="str">
        <f>HYPERLINK("https://creighton-primo.hosted.exlibrisgroup.com/primo-explore/search?tab=default_tab&amp;search_scope=EVERYTHING&amp;vid=01CRU&amp;lang=en_US&amp;offset=0&amp;query=any,contains,991001452629702656","Catalog Record")</f>
        <v>Catalog Record</v>
      </c>
      <c r="AT751" s="6" t="str">
        <f>HYPERLINK("http://www.worldcat.org/oclc/19553672","WorldCat Record")</f>
        <v>WorldCat Record</v>
      </c>
    </row>
    <row r="752" spans="1:46" ht="40.5" customHeight="1" x14ac:dyDescent="0.25">
      <c r="A752" s="8" t="s">
        <v>58</v>
      </c>
      <c r="B752" s="2" t="s">
        <v>5135</v>
      </c>
      <c r="C752" s="2" t="s">
        <v>5136</v>
      </c>
      <c r="D752" s="2" t="s">
        <v>5137</v>
      </c>
      <c r="F752" s="3" t="s">
        <v>58</v>
      </c>
      <c r="G752" s="3" t="s">
        <v>59</v>
      </c>
      <c r="H752" s="3" t="s">
        <v>58</v>
      </c>
      <c r="I752" s="3" t="s">
        <v>58</v>
      </c>
      <c r="J752" s="3" t="s">
        <v>60</v>
      </c>
      <c r="L752" s="2" t="s">
        <v>5138</v>
      </c>
      <c r="M752" s="3" t="s">
        <v>1511</v>
      </c>
      <c r="O752" s="3" t="s">
        <v>64</v>
      </c>
      <c r="P752" s="3" t="s">
        <v>1355</v>
      </c>
      <c r="R752" s="3" t="s">
        <v>1346</v>
      </c>
      <c r="S752" s="4">
        <v>16</v>
      </c>
      <c r="T752" s="4">
        <v>16</v>
      </c>
      <c r="U752" s="5" t="s">
        <v>2436</v>
      </c>
      <c r="V752" s="5" t="s">
        <v>2436</v>
      </c>
      <c r="W752" s="5" t="s">
        <v>5139</v>
      </c>
      <c r="X752" s="5" t="s">
        <v>5139</v>
      </c>
      <c r="Y752" s="4">
        <v>145</v>
      </c>
      <c r="Z752" s="4">
        <v>100</v>
      </c>
      <c r="AA752" s="4">
        <v>108</v>
      </c>
      <c r="AB752" s="4">
        <v>2</v>
      </c>
      <c r="AC752" s="4">
        <v>2</v>
      </c>
      <c r="AD752" s="4">
        <v>6</v>
      </c>
      <c r="AE752" s="4">
        <v>6</v>
      </c>
      <c r="AF752" s="4">
        <v>2</v>
      </c>
      <c r="AG752" s="4">
        <v>2</v>
      </c>
      <c r="AH752" s="4">
        <v>3</v>
      </c>
      <c r="AI752" s="4">
        <v>3</v>
      </c>
      <c r="AJ752" s="4">
        <v>2</v>
      </c>
      <c r="AK752" s="4">
        <v>2</v>
      </c>
      <c r="AL752" s="4">
        <v>1</v>
      </c>
      <c r="AM752" s="4">
        <v>1</v>
      </c>
      <c r="AN752" s="4">
        <v>0</v>
      </c>
      <c r="AO752" s="4">
        <v>0</v>
      </c>
      <c r="AP752" s="3" t="s">
        <v>58</v>
      </c>
      <c r="AQ752" s="3" t="s">
        <v>115</v>
      </c>
      <c r="AR752" s="6" t="str">
        <f>HYPERLINK("http://catalog.hathitrust.org/Record/001821966","HathiTrust Record")</f>
        <v>HathiTrust Record</v>
      </c>
      <c r="AS752" s="6" t="str">
        <f>HYPERLINK("https://creighton-primo.hosted.exlibrisgroup.com/primo-explore/search?tab=default_tab&amp;search_scope=EVERYTHING&amp;vid=01CRU&amp;lang=en_US&amp;offset=0&amp;query=any,contains,991001448629702656","Catalog Record")</f>
        <v>Catalog Record</v>
      </c>
      <c r="AT752" s="6" t="str">
        <f>HYPERLINK("http://www.worldcat.org/oclc/18106215","WorldCat Record")</f>
        <v>WorldCat Record</v>
      </c>
    </row>
    <row r="753" spans="1:46" ht="40.5" customHeight="1" x14ac:dyDescent="0.25">
      <c r="A753" s="8" t="s">
        <v>58</v>
      </c>
      <c r="B753" s="2" t="s">
        <v>5140</v>
      </c>
      <c r="C753" s="2" t="s">
        <v>5141</v>
      </c>
      <c r="D753" s="2" t="s">
        <v>5142</v>
      </c>
      <c r="F753" s="3" t="s">
        <v>58</v>
      </c>
      <c r="G753" s="3" t="s">
        <v>59</v>
      </c>
      <c r="H753" s="3" t="s">
        <v>58</v>
      </c>
      <c r="I753" s="3" t="s">
        <v>58</v>
      </c>
      <c r="J753" s="3" t="s">
        <v>60</v>
      </c>
      <c r="K753" s="2" t="s">
        <v>5143</v>
      </c>
      <c r="L753" s="2" t="s">
        <v>5144</v>
      </c>
      <c r="M753" s="3" t="s">
        <v>2320</v>
      </c>
      <c r="N753" s="2" t="s">
        <v>5145</v>
      </c>
      <c r="O753" s="3" t="s">
        <v>64</v>
      </c>
      <c r="P753" s="3" t="s">
        <v>144</v>
      </c>
      <c r="R753" s="3" t="s">
        <v>1346</v>
      </c>
      <c r="S753" s="4">
        <v>1</v>
      </c>
      <c r="T753" s="4">
        <v>1</v>
      </c>
      <c r="U753" s="5" t="s">
        <v>5146</v>
      </c>
      <c r="V753" s="5" t="s">
        <v>5146</v>
      </c>
      <c r="W753" s="5" t="s">
        <v>2335</v>
      </c>
      <c r="X753" s="5" t="s">
        <v>2335</v>
      </c>
      <c r="Y753" s="4">
        <v>51</v>
      </c>
      <c r="Z753" s="4">
        <v>47</v>
      </c>
      <c r="AA753" s="4">
        <v>59</v>
      </c>
      <c r="AB753" s="4">
        <v>2</v>
      </c>
      <c r="AC753" s="4">
        <v>2</v>
      </c>
      <c r="AD753" s="4">
        <v>4</v>
      </c>
      <c r="AE753" s="4">
        <v>4</v>
      </c>
      <c r="AF753" s="4">
        <v>2</v>
      </c>
      <c r="AG753" s="4">
        <v>2</v>
      </c>
      <c r="AH753" s="4">
        <v>2</v>
      </c>
      <c r="AI753" s="4">
        <v>2</v>
      </c>
      <c r="AJ753" s="4">
        <v>0</v>
      </c>
      <c r="AK753" s="4">
        <v>0</v>
      </c>
      <c r="AL753" s="4">
        <v>1</v>
      </c>
      <c r="AM753" s="4">
        <v>1</v>
      </c>
      <c r="AN753" s="4">
        <v>0</v>
      </c>
      <c r="AO753" s="4">
        <v>0</v>
      </c>
      <c r="AP753" s="3" t="s">
        <v>58</v>
      </c>
      <c r="AQ753" s="3" t="s">
        <v>115</v>
      </c>
      <c r="AR753" s="6" t="str">
        <f>HYPERLINK("http://catalog.hathitrust.org/Record/001582291","HathiTrust Record")</f>
        <v>HathiTrust Record</v>
      </c>
      <c r="AS753" s="6" t="str">
        <f>HYPERLINK("https://creighton-primo.hosted.exlibrisgroup.com/primo-explore/search?tab=default_tab&amp;search_scope=EVERYTHING&amp;vid=01CRU&amp;lang=en_US&amp;offset=0&amp;query=any,contains,991000994489702656","Catalog Record")</f>
        <v>Catalog Record</v>
      </c>
      <c r="AT753" s="6" t="str">
        <f>HYPERLINK("http://www.worldcat.org/oclc/3254114","WorldCat Record")</f>
        <v>WorldCat Record</v>
      </c>
    </row>
    <row r="754" spans="1:46" ht="40.5" customHeight="1" x14ac:dyDescent="0.25">
      <c r="A754" s="8" t="s">
        <v>58</v>
      </c>
      <c r="B754" s="2" t="s">
        <v>5147</v>
      </c>
      <c r="C754" s="2" t="s">
        <v>5148</v>
      </c>
      <c r="D754" s="2" t="s">
        <v>5149</v>
      </c>
      <c r="F754" s="3" t="s">
        <v>58</v>
      </c>
      <c r="G754" s="3" t="s">
        <v>59</v>
      </c>
      <c r="H754" s="3" t="s">
        <v>58</v>
      </c>
      <c r="I754" s="3" t="s">
        <v>58</v>
      </c>
      <c r="J754" s="3" t="s">
        <v>60</v>
      </c>
      <c r="L754" s="2" t="s">
        <v>5150</v>
      </c>
      <c r="M754" s="3" t="s">
        <v>142</v>
      </c>
      <c r="O754" s="3" t="s">
        <v>64</v>
      </c>
      <c r="P754" s="3" t="s">
        <v>3195</v>
      </c>
      <c r="R754" s="3" t="s">
        <v>1346</v>
      </c>
      <c r="S754" s="4">
        <v>9</v>
      </c>
      <c r="T754" s="4">
        <v>9</v>
      </c>
      <c r="U754" s="5" t="s">
        <v>5151</v>
      </c>
      <c r="V754" s="5" t="s">
        <v>5151</v>
      </c>
      <c r="W754" s="5" t="s">
        <v>2141</v>
      </c>
      <c r="X754" s="5" t="s">
        <v>2141</v>
      </c>
      <c r="Y754" s="4">
        <v>72</v>
      </c>
      <c r="Z754" s="4">
        <v>50</v>
      </c>
      <c r="AA754" s="4">
        <v>52</v>
      </c>
      <c r="AB754" s="4">
        <v>1</v>
      </c>
      <c r="AC754" s="4">
        <v>1</v>
      </c>
      <c r="AD754" s="4">
        <v>0</v>
      </c>
      <c r="AE754" s="4">
        <v>0</v>
      </c>
      <c r="AF754" s="4">
        <v>0</v>
      </c>
      <c r="AG754" s="4">
        <v>0</v>
      </c>
      <c r="AH754" s="4">
        <v>0</v>
      </c>
      <c r="AI754" s="4">
        <v>0</v>
      </c>
      <c r="AJ754" s="4">
        <v>0</v>
      </c>
      <c r="AK754" s="4">
        <v>0</v>
      </c>
      <c r="AL754" s="4">
        <v>0</v>
      </c>
      <c r="AM754" s="4">
        <v>0</v>
      </c>
      <c r="AN754" s="4">
        <v>0</v>
      </c>
      <c r="AO754" s="4">
        <v>0</v>
      </c>
      <c r="AP754" s="3" t="s">
        <v>58</v>
      </c>
      <c r="AQ754" s="3" t="s">
        <v>115</v>
      </c>
      <c r="AR754" s="6" t="str">
        <f>HYPERLINK("http://catalog.hathitrust.org/Record/002493271","HathiTrust Record")</f>
        <v>HathiTrust Record</v>
      </c>
      <c r="AS754" s="6" t="str">
        <f>HYPERLINK("https://creighton-primo.hosted.exlibrisgroup.com/primo-explore/search?tab=default_tab&amp;search_scope=EVERYTHING&amp;vid=01CRU&amp;lang=en_US&amp;offset=0&amp;query=any,contains,991001021749702656","Catalog Record")</f>
        <v>Catalog Record</v>
      </c>
      <c r="AT754" s="6" t="str">
        <f>HYPERLINK("http://www.worldcat.org/oclc/24143030","WorldCat Record")</f>
        <v>WorldCat Record</v>
      </c>
    </row>
    <row r="755" spans="1:46" ht="40.5" customHeight="1" x14ac:dyDescent="0.25">
      <c r="A755" s="8" t="s">
        <v>58</v>
      </c>
      <c r="B755" s="2" t="s">
        <v>5152</v>
      </c>
      <c r="C755" s="2" t="s">
        <v>5153</v>
      </c>
      <c r="D755" s="2" t="s">
        <v>5154</v>
      </c>
      <c r="F755" s="3" t="s">
        <v>58</v>
      </c>
      <c r="G755" s="3" t="s">
        <v>59</v>
      </c>
      <c r="H755" s="3" t="s">
        <v>58</v>
      </c>
      <c r="I755" s="3" t="s">
        <v>58</v>
      </c>
      <c r="J755" s="3" t="s">
        <v>60</v>
      </c>
      <c r="K755" s="2" t="s">
        <v>5155</v>
      </c>
      <c r="L755" s="2" t="s">
        <v>5156</v>
      </c>
      <c r="M755" s="3" t="s">
        <v>321</v>
      </c>
      <c r="O755" s="3" t="s">
        <v>64</v>
      </c>
      <c r="P755" s="3" t="s">
        <v>1512</v>
      </c>
      <c r="R755" s="3" t="s">
        <v>1346</v>
      </c>
      <c r="S755" s="4">
        <v>6</v>
      </c>
      <c r="T755" s="4">
        <v>6</v>
      </c>
      <c r="U755" s="5" t="s">
        <v>3059</v>
      </c>
      <c r="V755" s="5" t="s">
        <v>3059</v>
      </c>
      <c r="W755" s="5" t="s">
        <v>2335</v>
      </c>
      <c r="X755" s="5" t="s">
        <v>2335</v>
      </c>
      <c r="Y755" s="4">
        <v>108</v>
      </c>
      <c r="Z755" s="4">
        <v>74</v>
      </c>
      <c r="AA755" s="4">
        <v>74</v>
      </c>
      <c r="AB755" s="4">
        <v>2</v>
      </c>
      <c r="AC755" s="4">
        <v>2</v>
      </c>
      <c r="AD755" s="4">
        <v>4</v>
      </c>
      <c r="AE755" s="4">
        <v>4</v>
      </c>
      <c r="AF755" s="4">
        <v>1</v>
      </c>
      <c r="AG755" s="4">
        <v>1</v>
      </c>
      <c r="AH755" s="4">
        <v>1</v>
      </c>
      <c r="AI755" s="4">
        <v>1</v>
      </c>
      <c r="AJ755" s="4">
        <v>1</v>
      </c>
      <c r="AK755" s="4">
        <v>1</v>
      </c>
      <c r="AL755" s="4">
        <v>1</v>
      </c>
      <c r="AM755" s="4">
        <v>1</v>
      </c>
      <c r="AN755" s="4">
        <v>0</v>
      </c>
      <c r="AO755" s="4">
        <v>0</v>
      </c>
      <c r="AP755" s="3" t="s">
        <v>58</v>
      </c>
      <c r="AQ755" s="3" t="s">
        <v>58</v>
      </c>
      <c r="AS755" s="6" t="str">
        <f>HYPERLINK("https://creighton-primo.hosted.exlibrisgroup.com/primo-explore/search?tab=default_tab&amp;search_scope=EVERYTHING&amp;vid=01CRU&amp;lang=en_US&amp;offset=0&amp;query=any,contains,991000994449702656","Catalog Record")</f>
        <v>Catalog Record</v>
      </c>
      <c r="AT755" s="6" t="str">
        <f>HYPERLINK("http://www.worldcat.org/oclc/3481984","WorldCat Record")</f>
        <v>WorldCat Record</v>
      </c>
    </row>
    <row r="756" spans="1:46" ht="40.5" customHeight="1" x14ac:dyDescent="0.25">
      <c r="A756" s="8" t="s">
        <v>58</v>
      </c>
      <c r="B756" s="2" t="s">
        <v>5157</v>
      </c>
      <c r="C756" s="2" t="s">
        <v>5158</v>
      </c>
      <c r="D756" s="2" t="s">
        <v>5159</v>
      </c>
      <c r="F756" s="3" t="s">
        <v>58</v>
      </c>
      <c r="G756" s="3" t="s">
        <v>59</v>
      </c>
      <c r="H756" s="3" t="s">
        <v>58</v>
      </c>
      <c r="I756" s="3" t="s">
        <v>58</v>
      </c>
      <c r="J756" s="3" t="s">
        <v>60</v>
      </c>
      <c r="L756" s="2" t="s">
        <v>2358</v>
      </c>
      <c r="M756" s="3" t="s">
        <v>142</v>
      </c>
      <c r="O756" s="3" t="s">
        <v>64</v>
      </c>
      <c r="P756" s="3" t="s">
        <v>1355</v>
      </c>
      <c r="Q756" s="2" t="s">
        <v>5160</v>
      </c>
      <c r="R756" s="3" t="s">
        <v>1346</v>
      </c>
      <c r="S756" s="4">
        <v>2</v>
      </c>
      <c r="T756" s="4">
        <v>2</v>
      </c>
      <c r="U756" s="5" t="s">
        <v>5161</v>
      </c>
      <c r="V756" s="5" t="s">
        <v>5161</v>
      </c>
      <c r="W756" s="5" t="s">
        <v>2141</v>
      </c>
      <c r="X756" s="5" t="s">
        <v>2141</v>
      </c>
      <c r="Y756" s="4">
        <v>94</v>
      </c>
      <c r="Z756" s="4">
        <v>65</v>
      </c>
      <c r="AA756" s="4">
        <v>87</v>
      </c>
      <c r="AB756" s="4">
        <v>1</v>
      </c>
      <c r="AC756" s="4">
        <v>1</v>
      </c>
      <c r="AD756" s="4">
        <v>4</v>
      </c>
      <c r="AE756" s="4">
        <v>4</v>
      </c>
      <c r="AF756" s="4">
        <v>2</v>
      </c>
      <c r="AG756" s="4">
        <v>2</v>
      </c>
      <c r="AH756" s="4">
        <v>3</v>
      </c>
      <c r="AI756" s="4">
        <v>3</v>
      </c>
      <c r="AJ756" s="4">
        <v>0</v>
      </c>
      <c r="AK756" s="4">
        <v>0</v>
      </c>
      <c r="AL756" s="4">
        <v>0</v>
      </c>
      <c r="AM756" s="4">
        <v>0</v>
      </c>
      <c r="AN756" s="4">
        <v>0</v>
      </c>
      <c r="AO756" s="4">
        <v>0</v>
      </c>
      <c r="AP756" s="3" t="s">
        <v>58</v>
      </c>
      <c r="AQ756" s="3" t="s">
        <v>58</v>
      </c>
      <c r="AS756" s="6" t="str">
        <f>HYPERLINK("https://creighton-primo.hosted.exlibrisgroup.com/primo-explore/search?tab=default_tab&amp;search_scope=EVERYTHING&amp;vid=01CRU&amp;lang=en_US&amp;offset=0&amp;query=any,contains,991001021789702656","Catalog Record")</f>
        <v>Catalog Record</v>
      </c>
      <c r="AT756" s="6" t="str">
        <f>HYPERLINK("http://www.worldcat.org/oclc/23732143","WorldCat Record")</f>
        <v>WorldCat Record</v>
      </c>
    </row>
    <row r="757" spans="1:46" ht="40.5" customHeight="1" x14ac:dyDescent="0.25">
      <c r="A757" s="8" t="s">
        <v>58</v>
      </c>
      <c r="B757" s="2" t="s">
        <v>5162</v>
      </c>
      <c r="C757" s="2" t="s">
        <v>5163</v>
      </c>
      <c r="D757" s="2" t="s">
        <v>5164</v>
      </c>
      <c r="E757" s="3" t="s">
        <v>480</v>
      </c>
      <c r="F757" s="3" t="s">
        <v>115</v>
      </c>
      <c r="G757" s="3" t="s">
        <v>59</v>
      </c>
      <c r="H757" s="3" t="s">
        <v>58</v>
      </c>
      <c r="I757" s="3" t="s">
        <v>58</v>
      </c>
      <c r="J757" s="3" t="s">
        <v>60</v>
      </c>
      <c r="L757" s="2" t="s">
        <v>5165</v>
      </c>
      <c r="M757" s="3" t="s">
        <v>1511</v>
      </c>
      <c r="N757" s="2" t="s">
        <v>1662</v>
      </c>
      <c r="O757" s="3" t="s">
        <v>64</v>
      </c>
      <c r="P757" s="3" t="s">
        <v>1355</v>
      </c>
      <c r="R757" s="3" t="s">
        <v>1346</v>
      </c>
      <c r="S757" s="4">
        <v>4</v>
      </c>
      <c r="T757" s="4">
        <v>19</v>
      </c>
      <c r="U757" s="5" t="s">
        <v>5166</v>
      </c>
      <c r="V757" s="5" t="s">
        <v>5167</v>
      </c>
      <c r="W757" s="5" t="s">
        <v>5168</v>
      </c>
      <c r="X757" s="5" t="s">
        <v>5168</v>
      </c>
      <c r="Y757" s="4">
        <v>149</v>
      </c>
      <c r="Z757" s="4">
        <v>99</v>
      </c>
      <c r="AA757" s="4">
        <v>169</v>
      </c>
      <c r="AB757" s="4">
        <v>1</v>
      </c>
      <c r="AC757" s="4">
        <v>2</v>
      </c>
      <c r="AD757" s="4">
        <v>3</v>
      </c>
      <c r="AE757" s="4">
        <v>4</v>
      </c>
      <c r="AF757" s="4">
        <v>2</v>
      </c>
      <c r="AG757" s="4">
        <v>2</v>
      </c>
      <c r="AH757" s="4">
        <v>1</v>
      </c>
      <c r="AI757" s="4">
        <v>1</v>
      </c>
      <c r="AJ757" s="4">
        <v>0</v>
      </c>
      <c r="AK757" s="4">
        <v>0</v>
      </c>
      <c r="AL757" s="4">
        <v>0</v>
      </c>
      <c r="AM757" s="4">
        <v>1</v>
      </c>
      <c r="AN757" s="4">
        <v>0</v>
      </c>
      <c r="AO757" s="4">
        <v>0</v>
      </c>
      <c r="AP757" s="3" t="s">
        <v>58</v>
      </c>
      <c r="AQ757" s="3" t="s">
        <v>58</v>
      </c>
      <c r="AS757" s="6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T757" s="6" t="str">
        <f>HYPERLINK("http://www.worldcat.org/oclc/19222483","WorldCat Record")</f>
        <v>WorldCat Record</v>
      </c>
    </row>
    <row r="758" spans="1:46" ht="40.5" customHeight="1" x14ac:dyDescent="0.25">
      <c r="A758" s="8" t="s">
        <v>58</v>
      </c>
      <c r="B758" s="2" t="s">
        <v>5162</v>
      </c>
      <c r="C758" s="2" t="s">
        <v>5163</v>
      </c>
      <c r="D758" s="2" t="s">
        <v>5164</v>
      </c>
      <c r="E758" s="3" t="s">
        <v>492</v>
      </c>
      <c r="F758" s="3" t="s">
        <v>115</v>
      </c>
      <c r="G758" s="3" t="s">
        <v>59</v>
      </c>
      <c r="H758" s="3" t="s">
        <v>58</v>
      </c>
      <c r="I758" s="3" t="s">
        <v>58</v>
      </c>
      <c r="J758" s="3" t="s">
        <v>60</v>
      </c>
      <c r="L758" s="2" t="s">
        <v>5165</v>
      </c>
      <c r="M758" s="3" t="s">
        <v>1511</v>
      </c>
      <c r="N758" s="2" t="s">
        <v>1662</v>
      </c>
      <c r="O758" s="3" t="s">
        <v>64</v>
      </c>
      <c r="P758" s="3" t="s">
        <v>1355</v>
      </c>
      <c r="R758" s="3" t="s">
        <v>1346</v>
      </c>
      <c r="S758" s="4">
        <v>6</v>
      </c>
      <c r="T758" s="4">
        <v>19</v>
      </c>
      <c r="U758" s="5" t="s">
        <v>5167</v>
      </c>
      <c r="V758" s="5" t="s">
        <v>5167</v>
      </c>
      <c r="W758" s="5" t="s">
        <v>5168</v>
      </c>
      <c r="X758" s="5" t="s">
        <v>5168</v>
      </c>
      <c r="Y758" s="4">
        <v>149</v>
      </c>
      <c r="Z758" s="4">
        <v>99</v>
      </c>
      <c r="AA758" s="4">
        <v>169</v>
      </c>
      <c r="AB758" s="4">
        <v>1</v>
      </c>
      <c r="AC758" s="4">
        <v>2</v>
      </c>
      <c r="AD758" s="4">
        <v>3</v>
      </c>
      <c r="AE758" s="4">
        <v>4</v>
      </c>
      <c r="AF758" s="4">
        <v>2</v>
      </c>
      <c r="AG758" s="4">
        <v>2</v>
      </c>
      <c r="AH758" s="4">
        <v>1</v>
      </c>
      <c r="AI758" s="4">
        <v>1</v>
      </c>
      <c r="AJ758" s="4">
        <v>0</v>
      </c>
      <c r="AK758" s="4">
        <v>0</v>
      </c>
      <c r="AL758" s="4">
        <v>0</v>
      </c>
      <c r="AM758" s="4">
        <v>1</v>
      </c>
      <c r="AN758" s="4">
        <v>0</v>
      </c>
      <c r="AO758" s="4">
        <v>0</v>
      </c>
      <c r="AP758" s="3" t="s">
        <v>58</v>
      </c>
      <c r="AQ758" s="3" t="s">
        <v>58</v>
      </c>
      <c r="AS758" s="6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T758" s="6" t="str">
        <f>HYPERLINK("http://www.worldcat.org/oclc/19222483","WorldCat Record")</f>
        <v>WorldCat Record</v>
      </c>
    </row>
    <row r="759" spans="1:46" ht="40.5" customHeight="1" x14ac:dyDescent="0.25">
      <c r="A759" s="8" t="s">
        <v>58</v>
      </c>
      <c r="B759" s="2" t="s">
        <v>5162</v>
      </c>
      <c r="C759" s="2" t="s">
        <v>5163</v>
      </c>
      <c r="D759" s="2" t="s">
        <v>5164</v>
      </c>
      <c r="E759" s="3" t="s">
        <v>2382</v>
      </c>
      <c r="F759" s="3" t="s">
        <v>115</v>
      </c>
      <c r="G759" s="3" t="s">
        <v>59</v>
      </c>
      <c r="H759" s="3" t="s">
        <v>58</v>
      </c>
      <c r="I759" s="3" t="s">
        <v>58</v>
      </c>
      <c r="J759" s="3" t="s">
        <v>60</v>
      </c>
      <c r="L759" s="2" t="s">
        <v>5165</v>
      </c>
      <c r="M759" s="3" t="s">
        <v>1511</v>
      </c>
      <c r="N759" s="2" t="s">
        <v>1662</v>
      </c>
      <c r="O759" s="3" t="s">
        <v>64</v>
      </c>
      <c r="P759" s="3" t="s">
        <v>1355</v>
      </c>
      <c r="R759" s="3" t="s">
        <v>1346</v>
      </c>
      <c r="S759" s="4">
        <v>9</v>
      </c>
      <c r="T759" s="4">
        <v>19</v>
      </c>
      <c r="U759" s="5" t="s">
        <v>3628</v>
      </c>
      <c r="V759" s="5" t="s">
        <v>5167</v>
      </c>
      <c r="W759" s="5" t="s">
        <v>5168</v>
      </c>
      <c r="X759" s="5" t="s">
        <v>5168</v>
      </c>
      <c r="Y759" s="4">
        <v>149</v>
      </c>
      <c r="Z759" s="4">
        <v>99</v>
      </c>
      <c r="AA759" s="4">
        <v>169</v>
      </c>
      <c r="AB759" s="4">
        <v>1</v>
      </c>
      <c r="AC759" s="4">
        <v>2</v>
      </c>
      <c r="AD759" s="4">
        <v>3</v>
      </c>
      <c r="AE759" s="4">
        <v>4</v>
      </c>
      <c r="AF759" s="4">
        <v>2</v>
      </c>
      <c r="AG759" s="4">
        <v>2</v>
      </c>
      <c r="AH759" s="4">
        <v>1</v>
      </c>
      <c r="AI759" s="4">
        <v>1</v>
      </c>
      <c r="AJ759" s="4">
        <v>0</v>
      </c>
      <c r="AK759" s="4">
        <v>0</v>
      </c>
      <c r="AL759" s="4">
        <v>0</v>
      </c>
      <c r="AM759" s="4">
        <v>1</v>
      </c>
      <c r="AN759" s="4">
        <v>0</v>
      </c>
      <c r="AO759" s="4">
        <v>0</v>
      </c>
      <c r="AP759" s="3" t="s">
        <v>58</v>
      </c>
      <c r="AQ759" s="3" t="s">
        <v>58</v>
      </c>
      <c r="AS759" s="6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T759" s="6" t="str">
        <f>HYPERLINK("http://www.worldcat.org/oclc/19222483","WorldCat Record")</f>
        <v>WorldCat Record</v>
      </c>
    </row>
    <row r="760" spans="1:46" ht="40.5" customHeight="1" x14ac:dyDescent="0.25">
      <c r="A760" s="8" t="s">
        <v>58</v>
      </c>
      <c r="B760" s="2" t="s">
        <v>5169</v>
      </c>
      <c r="C760" s="2" t="s">
        <v>5170</v>
      </c>
      <c r="D760" s="2" t="s">
        <v>5171</v>
      </c>
      <c r="F760" s="3" t="s">
        <v>58</v>
      </c>
      <c r="G760" s="3" t="s">
        <v>59</v>
      </c>
      <c r="H760" s="3" t="s">
        <v>58</v>
      </c>
      <c r="I760" s="3" t="s">
        <v>58</v>
      </c>
      <c r="J760" s="3" t="s">
        <v>60</v>
      </c>
      <c r="L760" s="2" t="s">
        <v>5172</v>
      </c>
      <c r="M760" s="3" t="s">
        <v>380</v>
      </c>
      <c r="O760" s="3" t="s">
        <v>64</v>
      </c>
      <c r="P760" s="3" t="s">
        <v>65</v>
      </c>
      <c r="Q760" s="2" t="s">
        <v>5173</v>
      </c>
      <c r="R760" s="3" t="s">
        <v>1346</v>
      </c>
      <c r="S760" s="4">
        <v>7</v>
      </c>
      <c r="T760" s="4">
        <v>7</v>
      </c>
      <c r="U760" s="5" t="s">
        <v>5174</v>
      </c>
      <c r="V760" s="5" t="s">
        <v>5174</v>
      </c>
      <c r="W760" s="5" t="s">
        <v>3519</v>
      </c>
      <c r="X760" s="5" t="s">
        <v>3519</v>
      </c>
      <c r="Y760" s="4">
        <v>108</v>
      </c>
      <c r="Z760" s="4">
        <v>80</v>
      </c>
      <c r="AA760" s="4">
        <v>88</v>
      </c>
      <c r="AB760" s="4">
        <v>1</v>
      </c>
      <c r="AC760" s="4">
        <v>1</v>
      </c>
      <c r="AD760" s="4">
        <v>1</v>
      </c>
      <c r="AE760" s="4">
        <v>1</v>
      </c>
      <c r="AF760" s="4">
        <v>0</v>
      </c>
      <c r="AG760" s="4">
        <v>0</v>
      </c>
      <c r="AH760" s="4">
        <v>1</v>
      </c>
      <c r="AI760" s="4">
        <v>1</v>
      </c>
      <c r="AJ760" s="4">
        <v>0</v>
      </c>
      <c r="AK760" s="4">
        <v>0</v>
      </c>
      <c r="AL760" s="4">
        <v>0</v>
      </c>
      <c r="AM760" s="4">
        <v>0</v>
      </c>
      <c r="AN760" s="4">
        <v>0</v>
      </c>
      <c r="AO760" s="4">
        <v>0</v>
      </c>
      <c r="AP760" s="3" t="s">
        <v>58</v>
      </c>
      <c r="AQ760" s="3" t="s">
        <v>58</v>
      </c>
      <c r="AS760" s="6" t="str">
        <f>HYPERLINK("https://creighton-primo.hosted.exlibrisgroup.com/primo-explore/search?tab=default_tab&amp;search_scope=EVERYTHING&amp;vid=01CRU&amp;lang=en_US&amp;offset=0&amp;query=any,contains,991000668849702656","Catalog Record")</f>
        <v>Catalog Record</v>
      </c>
      <c r="AT760" s="6" t="str">
        <f>HYPERLINK("http://www.worldcat.org/oclc/28020024","WorldCat Record")</f>
        <v>WorldCat Record</v>
      </c>
    </row>
    <row r="761" spans="1:46" ht="40.5" customHeight="1" x14ac:dyDescent="0.25">
      <c r="A761" s="8" t="s">
        <v>58</v>
      </c>
      <c r="B761" s="2" t="s">
        <v>5175</v>
      </c>
      <c r="C761" s="2" t="s">
        <v>5176</v>
      </c>
      <c r="D761" s="2" t="s">
        <v>5177</v>
      </c>
      <c r="F761" s="3" t="s">
        <v>58</v>
      </c>
      <c r="G761" s="3" t="s">
        <v>59</v>
      </c>
      <c r="H761" s="3" t="s">
        <v>58</v>
      </c>
      <c r="I761" s="3" t="s">
        <v>58</v>
      </c>
      <c r="J761" s="3" t="s">
        <v>60</v>
      </c>
      <c r="L761" s="2" t="s">
        <v>2365</v>
      </c>
      <c r="M761" s="3" t="s">
        <v>468</v>
      </c>
      <c r="O761" s="3" t="s">
        <v>64</v>
      </c>
      <c r="P761" s="3" t="s">
        <v>613</v>
      </c>
      <c r="Q761" s="2" t="s">
        <v>5178</v>
      </c>
      <c r="R761" s="3" t="s">
        <v>1346</v>
      </c>
      <c r="S761" s="4">
        <v>12</v>
      </c>
      <c r="T761" s="4">
        <v>12</v>
      </c>
      <c r="U761" s="5" t="s">
        <v>5179</v>
      </c>
      <c r="V761" s="5" t="s">
        <v>5179</v>
      </c>
      <c r="W761" s="5" t="s">
        <v>5180</v>
      </c>
      <c r="X761" s="5" t="s">
        <v>5180</v>
      </c>
      <c r="Y761" s="4">
        <v>102</v>
      </c>
      <c r="Z761" s="4">
        <v>66</v>
      </c>
      <c r="AA761" s="4">
        <v>97</v>
      </c>
      <c r="AB761" s="4">
        <v>2</v>
      </c>
      <c r="AC761" s="4">
        <v>2</v>
      </c>
      <c r="AD761" s="4">
        <v>3</v>
      </c>
      <c r="AE761" s="4">
        <v>3</v>
      </c>
      <c r="AF761" s="4">
        <v>1</v>
      </c>
      <c r="AG761" s="4">
        <v>1</v>
      </c>
      <c r="AH761" s="4">
        <v>2</v>
      </c>
      <c r="AI761" s="4">
        <v>2</v>
      </c>
      <c r="AJ761" s="4">
        <v>0</v>
      </c>
      <c r="AK761" s="4">
        <v>0</v>
      </c>
      <c r="AL761" s="4">
        <v>1</v>
      </c>
      <c r="AM761" s="4">
        <v>1</v>
      </c>
      <c r="AN761" s="4">
        <v>0</v>
      </c>
      <c r="AO761" s="4">
        <v>0</v>
      </c>
      <c r="AP761" s="3" t="s">
        <v>58</v>
      </c>
      <c r="AQ761" s="3" t="s">
        <v>58</v>
      </c>
      <c r="AS761" s="6" t="str">
        <f>HYPERLINK("https://creighton-primo.hosted.exlibrisgroup.com/primo-explore/search?tab=default_tab&amp;search_scope=EVERYTHING&amp;vid=01CRU&amp;lang=en_US&amp;offset=0&amp;query=any,contains,991000476849702656","Catalog Record")</f>
        <v>Catalog Record</v>
      </c>
      <c r="AT761" s="6" t="str">
        <f>HYPERLINK("http://www.worldcat.org/oclc/60565344","WorldCat Record")</f>
        <v>WorldCat Record</v>
      </c>
    </row>
    <row r="762" spans="1:46" ht="40.5" customHeight="1" x14ac:dyDescent="0.25">
      <c r="A762" s="8" t="s">
        <v>58</v>
      </c>
      <c r="B762" s="2" t="s">
        <v>5181</v>
      </c>
      <c r="C762" s="2" t="s">
        <v>5182</v>
      </c>
      <c r="D762" s="2" t="s">
        <v>5183</v>
      </c>
      <c r="F762" s="3" t="s">
        <v>58</v>
      </c>
      <c r="G762" s="3" t="s">
        <v>59</v>
      </c>
      <c r="H762" s="3" t="s">
        <v>58</v>
      </c>
      <c r="I762" s="3" t="s">
        <v>58</v>
      </c>
      <c r="J762" s="3" t="s">
        <v>60</v>
      </c>
      <c r="L762" s="2" t="s">
        <v>2220</v>
      </c>
      <c r="M762" s="3" t="s">
        <v>1122</v>
      </c>
      <c r="O762" s="3" t="s">
        <v>64</v>
      </c>
      <c r="P762" s="3" t="s">
        <v>112</v>
      </c>
      <c r="Q762" s="2" t="s">
        <v>5184</v>
      </c>
      <c r="R762" s="3" t="s">
        <v>1346</v>
      </c>
      <c r="S762" s="4">
        <v>7</v>
      </c>
      <c r="T762" s="4">
        <v>7</v>
      </c>
      <c r="U762" s="5" t="s">
        <v>1569</v>
      </c>
      <c r="V762" s="5" t="s">
        <v>1569</v>
      </c>
      <c r="W762" s="5" t="s">
        <v>5185</v>
      </c>
      <c r="X762" s="5" t="s">
        <v>5185</v>
      </c>
      <c r="Y762" s="4">
        <v>67</v>
      </c>
      <c r="Z762" s="4">
        <v>30</v>
      </c>
      <c r="AA762" s="4">
        <v>77</v>
      </c>
      <c r="AB762" s="4">
        <v>1</v>
      </c>
      <c r="AC762" s="4">
        <v>1</v>
      </c>
      <c r="AD762" s="4">
        <v>1</v>
      </c>
      <c r="AE762" s="4">
        <v>4</v>
      </c>
      <c r="AF762" s="4">
        <v>1</v>
      </c>
      <c r="AG762" s="4">
        <v>3</v>
      </c>
      <c r="AH762" s="4">
        <v>0</v>
      </c>
      <c r="AI762" s="4">
        <v>2</v>
      </c>
      <c r="AJ762" s="4">
        <v>0</v>
      </c>
      <c r="AK762" s="4">
        <v>0</v>
      </c>
      <c r="AL762" s="4">
        <v>0</v>
      </c>
      <c r="AM762" s="4">
        <v>0</v>
      </c>
      <c r="AN762" s="4">
        <v>0</v>
      </c>
      <c r="AO762" s="4">
        <v>0</v>
      </c>
      <c r="AP762" s="3" t="s">
        <v>58</v>
      </c>
      <c r="AQ762" s="3" t="s">
        <v>115</v>
      </c>
      <c r="AR762" s="6" t="str">
        <f>HYPERLINK("http://catalog.hathitrust.org/Record/002229555","HathiTrust Record")</f>
        <v>HathiTrust Record</v>
      </c>
      <c r="AS762" s="6" t="str">
        <f>HYPERLINK("https://creighton-primo.hosted.exlibrisgroup.com/primo-explore/search?tab=default_tab&amp;search_scope=EVERYTHING&amp;vid=01CRU&amp;lang=en_US&amp;offset=0&amp;query=any,contains,991000816209702656","Catalog Record")</f>
        <v>Catalog Record</v>
      </c>
      <c r="AT762" s="6" t="str">
        <f>HYPERLINK("http://www.worldcat.org/oclc/21299168","WorldCat Record")</f>
        <v>WorldCat Record</v>
      </c>
    </row>
    <row r="763" spans="1:46" ht="40.5" customHeight="1" x14ac:dyDescent="0.25">
      <c r="A763" s="8" t="s">
        <v>58</v>
      </c>
      <c r="B763" s="2" t="s">
        <v>5186</v>
      </c>
      <c r="C763" s="2" t="s">
        <v>5187</v>
      </c>
      <c r="D763" s="2" t="s">
        <v>5188</v>
      </c>
      <c r="F763" s="3" t="s">
        <v>58</v>
      </c>
      <c r="G763" s="3" t="s">
        <v>59</v>
      </c>
      <c r="H763" s="3" t="s">
        <v>58</v>
      </c>
      <c r="I763" s="3" t="s">
        <v>58</v>
      </c>
      <c r="J763" s="3" t="s">
        <v>60</v>
      </c>
      <c r="K763" s="2" t="s">
        <v>5189</v>
      </c>
      <c r="L763" s="2" t="s">
        <v>5190</v>
      </c>
      <c r="M763" s="3" t="s">
        <v>3940</v>
      </c>
      <c r="O763" s="3" t="s">
        <v>64</v>
      </c>
      <c r="P763" s="3" t="s">
        <v>1355</v>
      </c>
      <c r="R763" s="3" t="s">
        <v>1346</v>
      </c>
      <c r="S763" s="4">
        <v>5</v>
      </c>
      <c r="T763" s="4">
        <v>5</v>
      </c>
      <c r="U763" s="5" t="s">
        <v>5107</v>
      </c>
      <c r="V763" s="5" t="s">
        <v>5107</v>
      </c>
      <c r="W763" s="5" t="s">
        <v>2335</v>
      </c>
      <c r="X763" s="5" t="s">
        <v>2335</v>
      </c>
      <c r="Y763" s="4">
        <v>28</v>
      </c>
      <c r="Z763" s="4">
        <v>26</v>
      </c>
      <c r="AA763" s="4">
        <v>75</v>
      </c>
      <c r="AB763" s="4">
        <v>1</v>
      </c>
      <c r="AC763" s="4">
        <v>2</v>
      </c>
      <c r="AD763" s="4">
        <v>1</v>
      </c>
      <c r="AE763" s="4">
        <v>3</v>
      </c>
      <c r="AF763" s="4">
        <v>1</v>
      </c>
      <c r="AG763" s="4">
        <v>1</v>
      </c>
      <c r="AH763" s="4">
        <v>0</v>
      </c>
      <c r="AI763" s="4">
        <v>1</v>
      </c>
      <c r="AJ763" s="4">
        <v>0</v>
      </c>
      <c r="AK763" s="4">
        <v>0</v>
      </c>
      <c r="AL763" s="4">
        <v>0</v>
      </c>
      <c r="AM763" s="4">
        <v>1</v>
      </c>
      <c r="AN763" s="4">
        <v>0</v>
      </c>
      <c r="AO763" s="4">
        <v>0</v>
      </c>
      <c r="AP763" s="3" t="s">
        <v>58</v>
      </c>
      <c r="AQ763" s="3" t="s">
        <v>58</v>
      </c>
      <c r="AS763" s="6" t="str">
        <f>HYPERLINK("https://creighton-primo.hosted.exlibrisgroup.com/primo-explore/search?tab=default_tab&amp;search_scope=EVERYTHING&amp;vid=01CRU&amp;lang=en_US&amp;offset=0&amp;query=any,contains,991000994409702656","Catalog Record")</f>
        <v>Catalog Record</v>
      </c>
      <c r="AT763" s="6" t="str">
        <f>HYPERLINK("http://www.worldcat.org/oclc/633698","WorldCat Record")</f>
        <v>WorldCat Record</v>
      </c>
    </row>
    <row r="764" spans="1:46" ht="40.5" customHeight="1" x14ac:dyDescent="0.25">
      <c r="A764" s="8" t="s">
        <v>58</v>
      </c>
      <c r="B764" s="2" t="s">
        <v>5191</v>
      </c>
      <c r="C764" s="2" t="s">
        <v>5192</v>
      </c>
      <c r="D764" s="2" t="s">
        <v>5193</v>
      </c>
      <c r="F764" s="3" t="s">
        <v>58</v>
      </c>
      <c r="G764" s="3" t="s">
        <v>59</v>
      </c>
      <c r="H764" s="3" t="s">
        <v>58</v>
      </c>
      <c r="I764" s="3" t="s">
        <v>58</v>
      </c>
      <c r="J764" s="3" t="s">
        <v>60</v>
      </c>
      <c r="L764" s="2" t="s">
        <v>5194</v>
      </c>
      <c r="M764" s="3" t="s">
        <v>235</v>
      </c>
      <c r="O764" s="3" t="s">
        <v>64</v>
      </c>
      <c r="P764" s="3" t="s">
        <v>65</v>
      </c>
      <c r="Q764" s="2" t="s">
        <v>5195</v>
      </c>
      <c r="R764" s="3" t="s">
        <v>1346</v>
      </c>
      <c r="S764" s="4">
        <v>11</v>
      </c>
      <c r="T764" s="4">
        <v>11</v>
      </c>
      <c r="U764" s="5" t="s">
        <v>1804</v>
      </c>
      <c r="V764" s="5" t="s">
        <v>1804</v>
      </c>
      <c r="W764" s="5" t="s">
        <v>2335</v>
      </c>
      <c r="X764" s="5" t="s">
        <v>2335</v>
      </c>
      <c r="Y764" s="4">
        <v>157</v>
      </c>
      <c r="Z764" s="4">
        <v>97</v>
      </c>
      <c r="AA764" s="4">
        <v>99</v>
      </c>
      <c r="AB764" s="4">
        <v>1</v>
      </c>
      <c r="AC764" s="4">
        <v>1</v>
      </c>
      <c r="AD764" s="4">
        <v>3</v>
      </c>
      <c r="AE764" s="4">
        <v>3</v>
      </c>
      <c r="AF764" s="4">
        <v>3</v>
      </c>
      <c r="AG764" s="4">
        <v>3</v>
      </c>
      <c r="AH764" s="4">
        <v>1</v>
      </c>
      <c r="AI764" s="4">
        <v>1</v>
      </c>
      <c r="AJ764" s="4">
        <v>0</v>
      </c>
      <c r="AK764" s="4">
        <v>0</v>
      </c>
      <c r="AL764" s="4">
        <v>0</v>
      </c>
      <c r="AM764" s="4">
        <v>0</v>
      </c>
      <c r="AN764" s="4">
        <v>0</v>
      </c>
      <c r="AO764" s="4">
        <v>0</v>
      </c>
      <c r="AP764" s="3" t="s">
        <v>58</v>
      </c>
      <c r="AQ764" s="3" t="s">
        <v>115</v>
      </c>
      <c r="AR764" s="6" t="str">
        <f>HYPERLINK("http://catalog.hathitrust.org/Record/000255946","HathiTrust Record")</f>
        <v>HathiTrust Record</v>
      </c>
      <c r="AS764" s="6" t="str">
        <f>HYPERLINK("https://creighton-primo.hosted.exlibrisgroup.com/primo-explore/search?tab=default_tab&amp;search_scope=EVERYTHING&amp;vid=01CRU&amp;lang=en_US&amp;offset=0&amp;query=any,contains,991000994359702656","Catalog Record")</f>
        <v>Catalog Record</v>
      </c>
      <c r="AT764" s="6" t="str">
        <f>HYPERLINK("http://www.worldcat.org/oclc/4494288","WorldCat Record")</f>
        <v>WorldCat Record</v>
      </c>
    </row>
    <row r="765" spans="1:46" ht="40.5" customHeight="1" x14ac:dyDescent="0.25">
      <c r="A765" s="8" t="s">
        <v>58</v>
      </c>
      <c r="B765" s="2" t="s">
        <v>5196</v>
      </c>
      <c r="C765" s="2" t="s">
        <v>5197</v>
      </c>
      <c r="D765" s="2" t="s">
        <v>5198</v>
      </c>
      <c r="F765" s="3" t="s">
        <v>58</v>
      </c>
      <c r="G765" s="3" t="s">
        <v>59</v>
      </c>
      <c r="H765" s="3" t="s">
        <v>58</v>
      </c>
      <c r="I765" s="3" t="s">
        <v>58</v>
      </c>
      <c r="J765" s="3" t="s">
        <v>60</v>
      </c>
      <c r="K765" s="2" t="s">
        <v>5199</v>
      </c>
      <c r="L765" s="2" t="s">
        <v>5200</v>
      </c>
      <c r="M765" s="3" t="s">
        <v>5201</v>
      </c>
      <c r="O765" s="3" t="s">
        <v>64</v>
      </c>
      <c r="P765" s="3" t="s">
        <v>1355</v>
      </c>
      <c r="R765" s="3" t="s">
        <v>1346</v>
      </c>
      <c r="S765" s="4">
        <v>1</v>
      </c>
      <c r="T765" s="4">
        <v>1</v>
      </c>
      <c r="U765" s="5" t="s">
        <v>4867</v>
      </c>
      <c r="V765" s="5" t="s">
        <v>4867</v>
      </c>
      <c r="W765" s="5" t="s">
        <v>2335</v>
      </c>
      <c r="X765" s="5" t="s">
        <v>2335</v>
      </c>
      <c r="Y765" s="4">
        <v>11</v>
      </c>
      <c r="Z765" s="4">
        <v>11</v>
      </c>
      <c r="AA765" s="4">
        <v>34</v>
      </c>
      <c r="AB765" s="4">
        <v>1</v>
      </c>
      <c r="AC765" s="4">
        <v>1</v>
      </c>
      <c r="AD765" s="4">
        <v>0</v>
      </c>
      <c r="AE765" s="4">
        <v>1</v>
      </c>
      <c r="AF765" s="4">
        <v>0</v>
      </c>
      <c r="AG765" s="4">
        <v>1</v>
      </c>
      <c r="AH765" s="4">
        <v>0</v>
      </c>
      <c r="AI765" s="4">
        <v>0</v>
      </c>
      <c r="AJ765" s="4">
        <v>0</v>
      </c>
      <c r="AK765" s="4">
        <v>0</v>
      </c>
      <c r="AL765" s="4">
        <v>0</v>
      </c>
      <c r="AM765" s="4">
        <v>0</v>
      </c>
      <c r="AN765" s="4">
        <v>0</v>
      </c>
      <c r="AO765" s="4">
        <v>0</v>
      </c>
      <c r="AP765" s="3" t="s">
        <v>58</v>
      </c>
      <c r="AQ765" s="3" t="s">
        <v>58</v>
      </c>
      <c r="AS765" s="6" t="str">
        <f>HYPERLINK("https://creighton-primo.hosted.exlibrisgroup.com/primo-explore/search?tab=default_tab&amp;search_scope=EVERYTHING&amp;vid=01CRU&amp;lang=en_US&amp;offset=0&amp;query=any,contains,991000994969702656","Catalog Record")</f>
        <v>Catalog Record</v>
      </c>
      <c r="AT765" s="6" t="str">
        <f>HYPERLINK("http://www.worldcat.org/oclc/2625679","WorldCat Record")</f>
        <v>WorldCat Record</v>
      </c>
    </row>
    <row r="766" spans="1:46" ht="40.5" customHeight="1" x14ac:dyDescent="0.25">
      <c r="A766" s="8" t="s">
        <v>58</v>
      </c>
      <c r="B766" s="2" t="s">
        <v>5202</v>
      </c>
      <c r="C766" s="2" t="s">
        <v>5203</v>
      </c>
      <c r="D766" s="2" t="s">
        <v>5204</v>
      </c>
      <c r="F766" s="3" t="s">
        <v>58</v>
      </c>
      <c r="G766" s="3" t="s">
        <v>59</v>
      </c>
      <c r="H766" s="3" t="s">
        <v>58</v>
      </c>
      <c r="I766" s="3" t="s">
        <v>58</v>
      </c>
      <c r="J766" s="3" t="s">
        <v>60</v>
      </c>
      <c r="L766" s="2" t="s">
        <v>5205</v>
      </c>
      <c r="M766" s="3" t="s">
        <v>2202</v>
      </c>
      <c r="O766" s="3" t="s">
        <v>64</v>
      </c>
      <c r="P766" s="3" t="s">
        <v>112</v>
      </c>
      <c r="R766" s="3" t="s">
        <v>1346</v>
      </c>
      <c r="S766" s="4">
        <v>4</v>
      </c>
      <c r="T766" s="4">
        <v>4</v>
      </c>
      <c r="U766" s="5" t="s">
        <v>3952</v>
      </c>
      <c r="V766" s="5" t="s">
        <v>3952</v>
      </c>
      <c r="W766" s="5" t="s">
        <v>5206</v>
      </c>
      <c r="X766" s="5" t="s">
        <v>5206</v>
      </c>
      <c r="Y766" s="4">
        <v>199</v>
      </c>
      <c r="Z766" s="4">
        <v>152</v>
      </c>
      <c r="AA766" s="4">
        <v>218</v>
      </c>
      <c r="AB766" s="4">
        <v>2</v>
      </c>
      <c r="AC766" s="4">
        <v>2</v>
      </c>
      <c r="AD766" s="4">
        <v>4</v>
      </c>
      <c r="AE766" s="4">
        <v>6</v>
      </c>
      <c r="AF766" s="4">
        <v>1</v>
      </c>
      <c r="AG766" s="4">
        <v>2</v>
      </c>
      <c r="AH766" s="4">
        <v>2</v>
      </c>
      <c r="AI766" s="4">
        <v>3</v>
      </c>
      <c r="AJ766" s="4">
        <v>0</v>
      </c>
      <c r="AK766" s="4">
        <v>0</v>
      </c>
      <c r="AL766" s="4">
        <v>1</v>
      </c>
      <c r="AM766" s="4">
        <v>1</v>
      </c>
      <c r="AN766" s="4">
        <v>0</v>
      </c>
      <c r="AO766" s="4">
        <v>0</v>
      </c>
      <c r="AP766" s="3" t="s">
        <v>58</v>
      </c>
      <c r="AQ766" s="3" t="s">
        <v>115</v>
      </c>
      <c r="AR766" s="6" t="str">
        <f>HYPERLINK("http://catalog.hathitrust.org/Record/004074964","HathiTrust Record")</f>
        <v>HathiTrust Record</v>
      </c>
      <c r="AS766" s="6" t="str">
        <f>HYPERLINK("https://creighton-primo.hosted.exlibrisgroup.com/primo-explore/search?tab=default_tab&amp;search_scope=EVERYTHING&amp;vid=01CRU&amp;lang=en_US&amp;offset=0&amp;query=any,contains,991001442959702656","Catalog Record")</f>
        <v>Catalog Record</v>
      </c>
      <c r="AT766" s="6" t="str">
        <f>HYPERLINK("http://www.worldcat.org/oclc/42214730","WorldCat Record")</f>
        <v>WorldCat Record</v>
      </c>
    </row>
    <row r="767" spans="1:46" ht="40.5" customHeight="1" x14ac:dyDescent="0.25">
      <c r="A767" s="8" t="s">
        <v>58</v>
      </c>
      <c r="B767" s="2" t="s">
        <v>5207</v>
      </c>
      <c r="C767" s="2" t="s">
        <v>5208</v>
      </c>
      <c r="D767" s="2" t="s">
        <v>5209</v>
      </c>
      <c r="F767" s="3" t="s">
        <v>58</v>
      </c>
      <c r="G767" s="3" t="s">
        <v>59</v>
      </c>
      <c r="H767" s="3" t="s">
        <v>58</v>
      </c>
      <c r="I767" s="3" t="s">
        <v>58</v>
      </c>
      <c r="J767" s="3" t="s">
        <v>60</v>
      </c>
      <c r="L767" s="2" t="s">
        <v>3843</v>
      </c>
      <c r="M767" s="3" t="s">
        <v>424</v>
      </c>
      <c r="O767" s="3" t="s">
        <v>64</v>
      </c>
      <c r="P767" s="3" t="s">
        <v>685</v>
      </c>
      <c r="R767" s="3" t="s">
        <v>1346</v>
      </c>
      <c r="S767" s="4">
        <v>17</v>
      </c>
      <c r="T767" s="4">
        <v>17</v>
      </c>
      <c r="U767" s="5" t="s">
        <v>2816</v>
      </c>
      <c r="V767" s="5" t="s">
        <v>2816</v>
      </c>
      <c r="W767" s="5" t="s">
        <v>5210</v>
      </c>
      <c r="X767" s="5" t="s">
        <v>5210</v>
      </c>
      <c r="Y767" s="4">
        <v>222</v>
      </c>
      <c r="Z767" s="4">
        <v>161</v>
      </c>
      <c r="AA767" s="4">
        <v>210</v>
      </c>
      <c r="AB767" s="4">
        <v>2</v>
      </c>
      <c r="AC767" s="4">
        <v>2</v>
      </c>
      <c r="AD767" s="4">
        <v>6</v>
      </c>
      <c r="AE767" s="4">
        <v>7</v>
      </c>
      <c r="AF767" s="4">
        <v>2</v>
      </c>
      <c r="AG767" s="4">
        <v>3</v>
      </c>
      <c r="AH767" s="4">
        <v>2</v>
      </c>
      <c r="AI767" s="4">
        <v>2</v>
      </c>
      <c r="AJ767" s="4">
        <v>2</v>
      </c>
      <c r="AK767" s="4">
        <v>2</v>
      </c>
      <c r="AL767" s="4">
        <v>1</v>
      </c>
      <c r="AM767" s="4">
        <v>1</v>
      </c>
      <c r="AN767" s="4">
        <v>0</v>
      </c>
      <c r="AO767" s="4">
        <v>0</v>
      </c>
      <c r="AP767" s="3" t="s">
        <v>58</v>
      </c>
      <c r="AQ767" s="3" t="s">
        <v>115</v>
      </c>
      <c r="AR767" s="6" t="str">
        <f>HYPERLINK("http://catalog.hathitrust.org/Record/002891946","HathiTrust Record")</f>
        <v>HathiTrust Record</v>
      </c>
      <c r="AS767" s="6" t="str">
        <f>HYPERLINK("https://creighton-primo.hosted.exlibrisgroup.com/primo-explore/search?tab=default_tab&amp;search_scope=EVERYTHING&amp;vid=01CRU&amp;lang=en_US&amp;offset=0&amp;query=any,contains,991001396329702656","Catalog Record")</f>
        <v>Catalog Record</v>
      </c>
      <c r="AT767" s="6" t="str">
        <f>HYPERLINK("http://www.worldcat.org/oclc/30031896","WorldCat Record")</f>
        <v>WorldCat Record</v>
      </c>
    </row>
    <row r="768" spans="1:46" ht="40.5" customHeight="1" x14ac:dyDescent="0.25">
      <c r="A768" s="8" t="s">
        <v>58</v>
      </c>
      <c r="B768" s="2" t="s">
        <v>5211</v>
      </c>
      <c r="C768" s="2" t="s">
        <v>5212</v>
      </c>
      <c r="D768" s="2" t="s">
        <v>5213</v>
      </c>
      <c r="F768" s="3" t="s">
        <v>58</v>
      </c>
      <c r="G768" s="3" t="s">
        <v>59</v>
      </c>
      <c r="H768" s="3" t="s">
        <v>58</v>
      </c>
      <c r="I768" s="3" t="s">
        <v>58</v>
      </c>
      <c r="J768" s="3" t="s">
        <v>60</v>
      </c>
      <c r="K768" s="2" t="s">
        <v>5214</v>
      </c>
      <c r="L768" s="2" t="s">
        <v>5215</v>
      </c>
      <c r="M768" s="3" t="s">
        <v>290</v>
      </c>
      <c r="N768" s="2" t="s">
        <v>143</v>
      </c>
      <c r="O768" s="3" t="s">
        <v>64</v>
      </c>
      <c r="P768" s="3" t="s">
        <v>1355</v>
      </c>
      <c r="R768" s="3" t="s">
        <v>1346</v>
      </c>
      <c r="S768" s="4">
        <v>2</v>
      </c>
      <c r="T768" s="4">
        <v>2</v>
      </c>
      <c r="U768" s="5" t="s">
        <v>5216</v>
      </c>
      <c r="V768" s="5" t="s">
        <v>5216</v>
      </c>
      <c r="W768" s="5" t="s">
        <v>3580</v>
      </c>
      <c r="X768" s="5" t="s">
        <v>3580</v>
      </c>
      <c r="Y768" s="4">
        <v>247</v>
      </c>
      <c r="Z768" s="4">
        <v>188</v>
      </c>
      <c r="AA768" s="4">
        <v>473</v>
      </c>
      <c r="AB768" s="4">
        <v>1</v>
      </c>
      <c r="AC768" s="4">
        <v>4</v>
      </c>
      <c r="AD768" s="4">
        <v>0</v>
      </c>
      <c r="AE768" s="4">
        <v>12</v>
      </c>
      <c r="AF768" s="4">
        <v>0</v>
      </c>
      <c r="AG768" s="4">
        <v>1</v>
      </c>
      <c r="AH768" s="4">
        <v>0</v>
      </c>
      <c r="AI768" s="4">
        <v>3</v>
      </c>
      <c r="AJ768" s="4">
        <v>0</v>
      </c>
      <c r="AK768" s="4">
        <v>5</v>
      </c>
      <c r="AL768" s="4">
        <v>0</v>
      </c>
      <c r="AM768" s="4">
        <v>3</v>
      </c>
      <c r="AN768" s="4">
        <v>0</v>
      </c>
      <c r="AO768" s="4">
        <v>0</v>
      </c>
      <c r="AP768" s="3" t="s">
        <v>58</v>
      </c>
      <c r="AQ768" s="3" t="s">
        <v>115</v>
      </c>
      <c r="AR768" s="6" t="str">
        <f>HYPERLINK("http://catalog.hathitrust.org/Record/000870292","HathiTrust Record")</f>
        <v>HathiTrust Record</v>
      </c>
      <c r="AS768" s="6" t="str">
        <f>HYPERLINK("https://creighton-primo.hosted.exlibrisgroup.com/primo-explore/search?tab=default_tab&amp;search_scope=EVERYTHING&amp;vid=01CRU&amp;lang=en_US&amp;offset=0&amp;query=any,contains,991001423489702656","Catalog Record")</f>
        <v>Catalog Record</v>
      </c>
      <c r="AT768" s="6" t="str">
        <f>HYPERLINK("http://www.worldcat.org/oclc/16527321","WorldCat Record")</f>
        <v>WorldCat Record</v>
      </c>
    </row>
  </sheetData>
  <sheetProtection sheet="1" objects="1" scenarios="1"/>
  <protectedRanges>
    <protectedRange sqref="A1:A1048576" name="Range1"/>
  </protectedRanges>
  <dataValidations count="1">
    <dataValidation type="list" allowBlank="1" showInputMessage="1" showErrorMessage="1" sqref="A2:A1048576" xr:uid="{F8C7117A-CA95-4968-B208-34022A84DE8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E029BA6-945B-4DBE-8BF4-91B5AE968880}"/>
</file>

<file path=customXml/itemProps2.xml><?xml version="1.0" encoding="utf-8"?>
<ds:datastoreItem xmlns:ds="http://schemas.openxmlformats.org/officeDocument/2006/customXml" ds:itemID="{3EDF8F19-9A8C-4413-A774-EB589CD1A513}"/>
</file>

<file path=customXml/itemProps3.xml><?xml version="1.0" encoding="utf-8"?>
<ds:datastoreItem xmlns:ds="http://schemas.openxmlformats.org/officeDocument/2006/customXml" ds:itemID="{43DFF26E-B8E0-43C9-A389-2837A54BC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2022-03-03T17:19:41Z</dcterms:created>
  <dcterms:modified xsi:type="dcterms:W3CDTF">2022-03-03T17:23:24Z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291400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